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Drives compartilhados\Gestao\Imobiliário\Fundos\Papel\EQIR11\2025\Outubro\Relatório Gerencial\Publicado\"/>
    </mc:Choice>
  </mc:AlternateContent>
  <xr:revisionPtr revIDLastSave="0" documentId="13_ncr:1_{D8D4F05B-4BD5-43DC-955E-9E6EA4DCD967}" xr6:coauthVersionLast="47" xr6:coauthVersionMax="47" xr10:uidLastSave="{00000000-0000-0000-0000-000000000000}"/>
  <bookViews>
    <workbookView xWindow="20370" yWindow="-5580" windowWidth="29040" windowHeight="15720" xr2:uid="{8ED7DAB6-4B17-4306-BB9A-67589D0FBCEA}"/>
  </bookViews>
  <sheets>
    <sheet name="Capa" sheetId="1" r:id="rId1"/>
    <sheet name="Portfólio" sheetId="2" r:id="rId2"/>
    <sheet name="Resultado" sheetId="3" r:id="rId3"/>
  </sheets>
  <definedNames>
    <definedName name="_xlchart.v6.0" hidden="1">Portfólio!$F$134</definedName>
    <definedName name="_xlchart.v6.1" hidden="1">Portfólio!$F$135:$F$145</definedName>
    <definedName name="_xlchart.v6.2" hidden="1">Portfólio!$H$135:$H$145</definedName>
    <definedName name="_xlchart.v6.3" hidden="1">Portfólio!$H$136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2" l="1"/>
  <c r="L43" i="2"/>
  <c r="K45" i="2" l="1"/>
  <c r="B98" i="2" l="1"/>
  <c r="D98" i="2" s="1"/>
  <c r="C98" i="2"/>
  <c r="E98" i="2"/>
  <c r="K98" i="2"/>
  <c r="B99" i="2"/>
  <c r="G99" i="2" s="1"/>
  <c r="C99" i="2"/>
  <c r="K99" i="2"/>
  <c r="B100" i="2"/>
  <c r="D100" i="2" s="1"/>
  <c r="C100" i="2"/>
  <c r="K100" i="2"/>
  <c r="B101" i="2"/>
  <c r="I101" i="2" s="1"/>
  <c r="C101" i="2"/>
  <c r="K101" i="2"/>
  <c r="B102" i="2"/>
  <c r="F102" i="2" s="1"/>
  <c r="C102" i="2"/>
  <c r="K102" i="2"/>
  <c r="B103" i="2"/>
  <c r="D103" i="2" s="1"/>
  <c r="C103" i="2"/>
  <c r="K103" i="2"/>
  <c r="B104" i="2"/>
  <c r="H104" i="2" s="1"/>
  <c r="C104" i="2"/>
  <c r="K104" i="2"/>
  <c r="B105" i="2"/>
  <c r="E105" i="2" s="1"/>
  <c r="C105" i="2"/>
  <c r="K105" i="2"/>
  <c r="B106" i="2"/>
  <c r="D106" i="2" s="1"/>
  <c r="C106" i="2"/>
  <c r="K106" i="2"/>
  <c r="B107" i="2"/>
  <c r="G107" i="2" s="1"/>
  <c r="C107" i="2"/>
  <c r="K107" i="2"/>
  <c r="B108" i="2"/>
  <c r="D108" i="2" s="1"/>
  <c r="C108" i="2"/>
  <c r="K108" i="2"/>
  <c r="B109" i="2"/>
  <c r="I109" i="2" s="1"/>
  <c r="C109" i="2"/>
  <c r="K109" i="2"/>
  <c r="B110" i="2"/>
  <c r="F110" i="2" s="1"/>
  <c r="C110" i="2"/>
  <c r="K110" i="2"/>
  <c r="B111" i="2"/>
  <c r="J111" i="2" s="1"/>
  <c r="C111" i="2"/>
  <c r="K111" i="2"/>
  <c r="B112" i="2"/>
  <c r="E112" i="2" s="1"/>
  <c r="C112" i="2"/>
  <c r="K112" i="2"/>
  <c r="B113" i="2"/>
  <c r="E113" i="2" s="1"/>
  <c r="C113" i="2"/>
  <c r="K113" i="2"/>
  <c r="B114" i="2"/>
  <c r="D114" i="2" s="1"/>
  <c r="C114" i="2"/>
  <c r="K114" i="2"/>
  <c r="B115" i="2"/>
  <c r="G115" i="2" s="1"/>
  <c r="C115" i="2"/>
  <c r="K115" i="2"/>
  <c r="B116" i="2"/>
  <c r="D116" i="2" s="1"/>
  <c r="C116" i="2"/>
  <c r="K116" i="2"/>
  <c r="B117" i="2"/>
  <c r="I117" i="2" s="1"/>
  <c r="C117" i="2"/>
  <c r="K117" i="2"/>
  <c r="B118" i="2"/>
  <c r="F118" i="2" s="1"/>
  <c r="C118" i="2"/>
  <c r="K118" i="2"/>
  <c r="B119" i="2"/>
  <c r="D119" i="2" s="1"/>
  <c r="C119" i="2"/>
  <c r="K119" i="2"/>
  <c r="B120" i="2"/>
  <c r="F120" i="2" s="1"/>
  <c r="C120" i="2"/>
  <c r="K120" i="2"/>
  <c r="B121" i="2"/>
  <c r="E121" i="2" s="1"/>
  <c r="C121" i="2"/>
  <c r="K121" i="2"/>
  <c r="B122" i="2"/>
  <c r="C122" i="2"/>
  <c r="K122" i="2"/>
  <c r="B123" i="2"/>
  <c r="G123" i="2" s="1"/>
  <c r="C123" i="2"/>
  <c r="D123" i="2"/>
  <c r="K123" i="2"/>
  <c r="B124" i="2"/>
  <c r="D124" i="2" s="1"/>
  <c r="C124" i="2"/>
  <c r="K124" i="2"/>
  <c r="B125" i="2"/>
  <c r="I125" i="2" s="1"/>
  <c r="C125" i="2"/>
  <c r="K125" i="2"/>
  <c r="B126" i="2"/>
  <c r="F126" i="2" s="1"/>
  <c r="C126" i="2"/>
  <c r="K126" i="2"/>
  <c r="B127" i="2"/>
  <c r="J127" i="2" s="1"/>
  <c r="C127" i="2"/>
  <c r="K127" i="2"/>
  <c r="B128" i="2"/>
  <c r="I128" i="2" s="1"/>
  <c r="C128" i="2"/>
  <c r="K128" i="2"/>
  <c r="B129" i="2"/>
  <c r="E129" i="2" s="1"/>
  <c r="C129" i="2"/>
  <c r="K129" i="2"/>
  <c r="B130" i="2"/>
  <c r="F130" i="2" s="1"/>
  <c r="C130" i="2"/>
  <c r="K130" i="2"/>
  <c r="B131" i="2"/>
  <c r="G131" i="2" s="1"/>
  <c r="C131" i="2"/>
  <c r="E131" i="2"/>
  <c r="K131" i="2"/>
  <c r="G104" i="2" l="1"/>
  <c r="F131" i="2"/>
  <c r="F104" i="2"/>
  <c r="D125" i="2"/>
  <c r="J100" i="2"/>
  <c r="J104" i="2"/>
  <c r="L109" i="2"/>
  <c r="J119" i="2"/>
  <c r="E104" i="2"/>
  <c r="D104" i="2"/>
  <c r="E128" i="2"/>
  <c r="E109" i="2"/>
  <c r="E107" i="2"/>
  <c r="D105" i="2"/>
  <c r="D99" i="2"/>
  <c r="D118" i="2"/>
  <c r="E130" i="2"/>
  <c r="D109" i="2"/>
  <c r="D107" i="2"/>
  <c r="D120" i="2"/>
  <c r="L99" i="2"/>
  <c r="I98" i="2"/>
  <c r="H130" i="2"/>
  <c r="J99" i="2"/>
  <c r="H98" i="2"/>
  <c r="G130" i="2"/>
  <c r="L128" i="2"/>
  <c r="L104" i="2"/>
  <c r="F99" i="2"/>
  <c r="G98" i="2"/>
  <c r="D128" i="2"/>
  <c r="J124" i="2"/>
  <c r="D117" i="2"/>
  <c r="E106" i="2"/>
  <c r="E99" i="2"/>
  <c r="F98" i="2"/>
  <c r="D131" i="2"/>
  <c r="D122" i="2"/>
  <c r="D127" i="2"/>
  <c r="D111" i="2"/>
  <c r="D130" i="2"/>
  <c r="L112" i="2"/>
  <c r="L120" i="2"/>
  <c r="F122" i="2"/>
  <c r="J112" i="2"/>
  <c r="E122" i="2"/>
  <c r="J120" i="2"/>
  <c r="D112" i="2"/>
  <c r="L125" i="2"/>
  <c r="E120" i="2"/>
  <c r="J108" i="2"/>
  <c r="D101" i="2"/>
  <c r="J98" i="2"/>
  <c r="L121" i="2"/>
  <c r="J122" i="2"/>
  <c r="I120" i="2"/>
  <c r="L117" i="2"/>
  <c r="L113" i="2"/>
  <c r="D121" i="2"/>
  <c r="J113" i="2"/>
  <c r="E110" i="2"/>
  <c r="G109" i="2"/>
  <c r="G106" i="2"/>
  <c r="J128" i="2"/>
  <c r="J109" i="2"/>
  <c r="H128" i="2"/>
  <c r="J123" i="2"/>
  <c r="I122" i="2"/>
  <c r="H120" i="2"/>
  <c r="J110" i="2"/>
  <c r="H109" i="2"/>
  <c r="G128" i="2"/>
  <c r="F123" i="2"/>
  <c r="H122" i="2"/>
  <c r="G120" i="2"/>
  <c r="F117" i="2"/>
  <c r="L101" i="2"/>
  <c r="I130" i="2"/>
  <c r="D129" i="2"/>
  <c r="F128" i="2"/>
  <c r="E123" i="2"/>
  <c r="G122" i="2"/>
  <c r="E117" i="2"/>
  <c r="D113" i="2"/>
  <c r="D110" i="2"/>
  <c r="F109" i="2"/>
  <c r="F106" i="2"/>
  <c r="J114" i="2"/>
  <c r="L126" i="2"/>
  <c r="J125" i="2"/>
  <c r="J101" i="2"/>
  <c r="L118" i="2"/>
  <c r="H112" i="2"/>
  <c r="L107" i="2"/>
  <c r="J102" i="2"/>
  <c r="E102" i="2"/>
  <c r="G101" i="2"/>
  <c r="D126" i="2"/>
  <c r="F125" i="2"/>
  <c r="J118" i="2"/>
  <c r="H117" i="2"/>
  <c r="J116" i="2"/>
  <c r="D115" i="2"/>
  <c r="F114" i="2"/>
  <c r="F112" i="2"/>
  <c r="J107" i="2"/>
  <c r="I106" i="2"/>
  <c r="I104" i="2"/>
  <c r="D102" i="2"/>
  <c r="F101" i="2"/>
  <c r="L115" i="2"/>
  <c r="L102" i="2"/>
  <c r="J115" i="2"/>
  <c r="I114" i="2"/>
  <c r="I112" i="2"/>
  <c r="H125" i="2"/>
  <c r="F115" i="2"/>
  <c r="H114" i="2"/>
  <c r="H101" i="2"/>
  <c r="E126" i="2"/>
  <c r="G125" i="2"/>
  <c r="J117" i="2"/>
  <c r="E115" i="2"/>
  <c r="G114" i="2"/>
  <c r="G112" i="2"/>
  <c r="J106" i="2"/>
  <c r="L105" i="2"/>
  <c r="L131" i="2"/>
  <c r="J130" i="2"/>
  <c r="L129" i="2"/>
  <c r="E125" i="2"/>
  <c r="L123" i="2"/>
  <c r="E118" i="2"/>
  <c r="G117" i="2"/>
  <c r="E114" i="2"/>
  <c r="L110" i="2"/>
  <c r="F107" i="2"/>
  <c r="H106" i="2"/>
  <c r="J105" i="2"/>
  <c r="J103" i="2"/>
  <c r="E101" i="2"/>
  <c r="I127" i="2"/>
  <c r="I111" i="2"/>
  <c r="J129" i="2"/>
  <c r="H111" i="2"/>
  <c r="H103" i="2"/>
  <c r="G127" i="2"/>
  <c r="J126" i="2"/>
  <c r="H124" i="2"/>
  <c r="G119" i="2"/>
  <c r="H100" i="2"/>
  <c r="H129" i="2"/>
  <c r="G124" i="2"/>
  <c r="H121" i="2"/>
  <c r="H113" i="2"/>
  <c r="F111" i="2"/>
  <c r="I110" i="2"/>
  <c r="H105" i="2"/>
  <c r="G100" i="2"/>
  <c r="I131" i="2"/>
  <c r="L130" i="2"/>
  <c r="G129" i="2"/>
  <c r="E127" i="2"/>
  <c r="H126" i="2"/>
  <c r="F124" i="2"/>
  <c r="I123" i="2"/>
  <c r="L122" i="2"/>
  <c r="G121" i="2"/>
  <c r="E119" i="2"/>
  <c r="H118" i="2"/>
  <c r="F116" i="2"/>
  <c r="I115" i="2"/>
  <c r="L114" i="2"/>
  <c r="G113" i="2"/>
  <c r="E111" i="2"/>
  <c r="H110" i="2"/>
  <c r="F108" i="2"/>
  <c r="I107" i="2"/>
  <c r="L106" i="2"/>
  <c r="G105" i="2"/>
  <c r="E103" i="2"/>
  <c r="H102" i="2"/>
  <c r="F100" i="2"/>
  <c r="I99" i="2"/>
  <c r="L98" i="2"/>
  <c r="I103" i="2"/>
  <c r="J121" i="2"/>
  <c r="H119" i="2"/>
  <c r="I116" i="2"/>
  <c r="I108" i="2"/>
  <c r="I121" i="2"/>
  <c r="G103" i="2"/>
  <c r="I126" i="2"/>
  <c r="G108" i="2"/>
  <c r="F103" i="2"/>
  <c r="F129" i="2"/>
  <c r="G126" i="2"/>
  <c r="F113" i="2"/>
  <c r="I119" i="2"/>
  <c r="H127" i="2"/>
  <c r="I124" i="2"/>
  <c r="I100" i="2"/>
  <c r="I129" i="2"/>
  <c r="H116" i="2"/>
  <c r="I113" i="2"/>
  <c r="G111" i="2"/>
  <c r="H108" i="2"/>
  <c r="I105" i="2"/>
  <c r="J131" i="2"/>
  <c r="F127" i="2"/>
  <c r="F119" i="2"/>
  <c r="I118" i="2"/>
  <c r="G116" i="2"/>
  <c r="I102" i="2"/>
  <c r="H131" i="2"/>
  <c r="L127" i="2"/>
  <c r="E124" i="2"/>
  <c r="H123" i="2"/>
  <c r="F121" i="2"/>
  <c r="L119" i="2"/>
  <c r="G118" i="2"/>
  <c r="E116" i="2"/>
  <c r="H115" i="2"/>
  <c r="L111" i="2"/>
  <c r="G110" i="2"/>
  <c r="E108" i="2"/>
  <c r="H107" i="2"/>
  <c r="F105" i="2"/>
  <c r="L103" i="2"/>
  <c r="G102" i="2"/>
  <c r="E100" i="2"/>
  <c r="H99" i="2"/>
  <c r="L124" i="2"/>
  <c r="L116" i="2"/>
  <c r="L108" i="2"/>
  <c r="L100" i="2"/>
  <c r="K19" i="3"/>
  <c r="K16" i="3"/>
  <c r="K12" i="3"/>
  <c r="K21" i="3" l="1"/>
  <c r="L45" i="2" l="1"/>
  <c r="J19" i="3" l="1"/>
  <c r="J16" i="3"/>
  <c r="J12" i="3"/>
  <c r="J21" i="3" s="1"/>
  <c r="I19" i="3" l="1"/>
  <c r="I16" i="3"/>
  <c r="I12" i="3"/>
  <c r="I21" i="3" l="1"/>
  <c r="H19" i="3"/>
  <c r="H16" i="3"/>
  <c r="H12" i="3"/>
  <c r="I9" i="3"/>
  <c r="J9" i="3" s="1"/>
  <c r="K9" i="3" s="1"/>
  <c r="L9" i="3" s="1"/>
  <c r="M9" i="3" s="1"/>
  <c r="N9" i="3" s="1"/>
  <c r="O9" i="3" s="1"/>
  <c r="P9" i="3" s="1"/>
  <c r="Q9" i="3" s="1"/>
  <c r="R9" i="3" s="1"/>
  <c r="S9" i="3" s="1"/>
  <c r="U24" i="3"/>
  <c r="U23" i="3"/>
  <c r="U22" i="3"/>
  <c r="U20" i="3"/>
  <c r="U18" i="3"/>
  <c r="U17" i="3"/>
  <c r="U15" i="3"/>
  <c r="U14" i="3"/>
  <c r="U13" i="3"/>
  <c r="S38" i="3"/>
  <c r="S35" i="3"/>
  <c r="S31" i="3"/>
  <c r="H21" i="3" l="1"/>
  <c r="U21" i="3" s="1"/>
  <c r="S40" i="3"/>
  <c r="U19" i="3"/>
  <c r="W19" i="3" s="1"/>
  <c r="U12" i="3"/>
  <c r="W12" i="3" s="1"/>
  <c r="C97" i="2" l="1"/>
  <c r="B97" i="2"/>
  <c r="U43" i="3"/>
  <c r="U42" i="3"/>
  <c r="U41" i="3"/>
  <c r="U39" i="3"/>
  <c r="U37" i="3"/>
  <c r="U36" i="3"/>
  <c r="U34" i="3"/>
  <c r="U33" i="3"/>
  <c r="U32" i="3"/>
  <c r="R38" i="3"/>
  <c r="R35" i="3"/>
  <c r="Q35" i="3"/>
  <c r="R31" i="3"/>
  <c r="Q38" i="3"/>
  <c r="Q31" i="3"/>
  <c r="K97" i="2"/>
  <c r="D97" i="2" l="1"/>
  <c r="L97" i="2"/>
  <c r="G97" i="2"/>
  <c r="F97" i="2"/>
  <c r="E97" i="2"/>
  <c r="J97" i="2"/>
  <c r="I97" i="2"/>
  <c r="H97" i="2"/>
  <c r="K137" i="2"/>
  <c r="U35" i="3"/>
  <c r="U31" i="3"/>
  <c r="U38" i="3"/>
  <c r="R40" i="3"/>
  <c r="Q40" i="3"/>
  <c r="U40" i="3" l="1"/>
  <c r="K135" i="2"/>
  <c r="W97" i="3" l="1"/>
  <c r="W95" i="3"/>
  <c r="W92" i="3"/>
  <c r="W88" i="3"/>
  <c r="W69" i="3"/>
  <c r="W78" i="3"/>
  <c r="W76" i="3"/>
  <c r="W73" i="3"/>
  <c r="W50" i="3"/>
  <c r="W59" i="3"/>
  <c r="W57" i="3"/>
  <c r="W54" i="3"/>
  <c r="W40" i="3"/>
  <c r="W38" i="3"/>
  <c r="W35" i="3"/>
  <c r="W31" i="3"/>
  <c r="H138" i="2"/>
  <c r="N135" i="2" l="1"/>
  <c r="N142" i="2"/>
  <c r="H135" i="2"/>
  <c r="H145" i="2"/>
  <c r="Q136" i="2"/>
  <c r="Q137" i="2"/>
  <c r="Q135" i="2"/>
  <c r="N140" i="2"/>
  <c r="K136" i="2"/>
  <c r="H144" i="2"/>
  <c r="H137" i="2" l="1"/>
  <c r="N141" i="2"/>
  <c r="N137" i="2"/>
  <c r="N139" i="2"/>
  <c r="N138" i="2"/>
  <c r="N136" i="2"/>
  <c r="H143" i="2"/>
  <c r="H136" i="2"/>
  <c r="H139" i="2"/>
  <c r="H140" i="2"/>
  <c r="Q138" i="2"/>
  <c r="H141" i="2"/>
  <c r="H142" i="2"/>
  <c r="C135" i="2" l="1"/>
  <c r="C143" i="2" l="1"/>
  <c r="C140" i="2"/>
  <c r="C137" i="2"/>
  <c r="C139" i="2"/>
  <c r="C141" i="2"/>
  <c r="C136" i="2"/>
  <c r="C142" i="2"/>
  <c r="C138" i="2"/>
  <c r="D142" i="2" l="1"/>
  <c r="D139" i="2"/>
  <c r="D136" i="2"/>
  <c r="D141" i="2"/>
  <c r="D137" i="2"/>
  <c r="D138" i="2"/>
  <c r="D135" i="2"/>
  <c r="D140" i="2"/>
  <c r="D143" i="2"/>
  <c r="U16" i="3" l="1"/>
  <c r="W21" i="3" s="1"/>
  <c r="W16"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0"/>
        </ext>
      </extLst>
    </bk>
    <bk>
      <extLst>
        <ext uri="{3e2802c4-a4d2-4d8b-9148-e3be6c30e623}">
          <xlrd:rvb i="19"/>
        </ext>
      </extLst>
    </bk>
    <bk>
      <extLst>
        <ext uri="{3e2802c4-a4d2-4d8b-9148-e3be6c30e623}">
          <xlrd:rvb i="28"/>
        </ext>
      </extLst>
    </bk>
    <bk>
      <extLst>
        <ext uri="{3e2802c4-a4d2-4d8b-9148-e3be6c30e623}">
          <xlrd:rvb i="38"/>
        </ext>
      </extLst>
    </bk>
    <bk>
      <extLst>
        <ext uri="{3e2802c4-a4d2-4d8b-9148-e3be6c30e623}">
          <xlrd:rvb i="50"/>
        </ext>
      </extLst>
    </bk>
    <bk>
      <extLst>
        <ext uri="{3e2802c4-a4d2-4d8b-9148-e3be6c30e623}">
          <xlrd:rvb i="59"/>
        </ext>
      </extLst>
    </bk>
    <bk>
      <extLst>
        <ext uri="{3e2802c4-a4d2-4d8b-9148-e3be6c30e623}">
          <xlrd:rvb i="68"/>
        </ext>
      </extLst>
    </bk>
    <bk>
      <extLst>
        <ext uri="{3e2802c4-a4d2-4d8b-9148-e3be6c30e623}">
          <xlrd:rvb i="77"/>
        </ext>
      </extLst>
    </bk>
    <bk>
      <extLst>
        <ext uri="{3e2802c4-a4d2-4d8b-9148-e3be6c30e623}">
          <xlrd:rvb i="86"/>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<sst xmlns="http://schemas.openxmlformats.org/spreadsheetml/2006/main" count="515" uniqueCount="222">
  <si>
    <t>Investidores em geral</t>
  </si>
  <si>
    <t>Público alvo:</t>
  </si>
  <si>
    <t>Indeterminado</t>
  </si>
  <si>
    <t>Prazo:</t>
  </si>
  <si>
    <t>TVM Gestão Ativa - Títulos e Valores Mobiliários</t>
  </si>
  <si>
    <t>Tipo Anbima:</t>
  </si>
  <si>
    <t>2 emissões de cotas realizadas</t>
  </si>
  <si>
    <t>Ofertas concluídas</t>
  </si>
  <si>
    <t>Não possuí</t>
  </si>
  <si>
    <t>Taxa de Performance:</t>
  </si>
  <si>
    <t>Taxa de Adminstração:</t>
  </si>
  <si>
    <t>Gestora:</t>
  </si>
  <si>
    <t>Adminstradora:</t>
  </si>
  <si>
    <t>Agosto de 2021</t>
  </si>
  <si>
    <t>Início das atividades:</t>
  </si>
  <si>
    <t>INFORMAÇÕES GERAIS</t>
  </si>
  <si>
    <t xml:space="preserve">Poderão integrar o patrimônio do fundo i) Certificados de Recebíveis Imobiliários (CRI); ii) Letras de Crédito Imobiliário (LCI); Letras Hipotecárias (LH); Letras Imobiliárias Garantidas (LIG); Cotas de outros Fundos de Investimento Imobiliário (FII); e Cotas de Fundos de Investimento em Direitos Creditórios (FIDC) que tenham como política de investimento, exclusivamente, atividades permitidas aos FII e desde que as cotas tenham sido objeto de oferta pública registrada na CVM ou cujo registro tenha sido dispensado nos termos da regulamentação em vigor. </t>
  </si>
  <si>
    <t>POLÍTICA DE INVESTIMENTOS</t>
  </si>
  <si>
    <t>OBJETIVO DO FUNDO</t>
  </si>
  <si>
    <t>EQI Recebíveis Imobiliários FII - EQIR11</t>
  </si>
  <si>
    <t>PE</t>
  </si>
  <si>
    <t>Varejo</t>
  </si>
  <si>
    <t>PA</t>
  </si>
  <si>
    <t>RS</t>
  </si>
  <si>
    <t>2033+</t>
  </si>
  <si>
    <t>Home Equity</t>
  </si>
  <si>
    <t>RJ</t>
  </si>
  <si>
    <t>Outros</t>
  </si>
  <si>
    <t>MT</t>
  </si>
  <si>
    <t>DF</t>
  </si>
  <si>
    <t>Loteamento</t>
  </si>
  <si>
    <t>SC</t>
  </si>
  <si>
    <t>76% - 100%</t>
  </si>
  <si>
    <t>Residencial</t>
  </si>
  <si>
    <t>GO</t>
  </si>
  <si>
    <t>51% - 75%</t>
  </si>
  <si>
    <t>Energia</t>
  </si>
  <si>
    <t>MG</t>
  </si>
  <si>
    <t>26% - 50%</t>
  </si>
  <si>
    <t>Corporativo</t>
  </si>
  <si>
    <t xml:space="preserve">CDI </t>
  </si>
  <si>
    <t>Pulverizado</t>
  </si>
  <si>
    <t>-</t>
  </si>
  <si>
    <t>0% - 25%</t>
  </si>
  <si>
    <t>Galpões Logísticos</t>
  </si>
  <si>
    <t>IPCA</t>
  </si>
  <si>
    <t>SP</t>
  </si>
  <si>
    <t>LTV</t>
  </si>
  <si>
    <t>Segmento</t>
  </si>
  <si>
    <t>Indexador</t>
  </si>
  <si>
    <t>Localização</t>
  </si>
  <si>
    <t>Duration</t>
  </si>
  <si>
    <t>Vencimento</t>
  </si>
  <si>
    <t>Ano</t>
  </si>
  <si>
    <t>21L0354209</t>
  </si>
  <si>
    <t>23B0493519</t>
  </si>
  <si>
    <t>23G0006401</t>
  </si>
  <si>
    <t>21I0912120</t>
  </si>
  <si>
    <t>21D0402879</t>
  </si>
  <si>
    <t>21F0568989</t>
  </si>
  <si>
    <t>20K0568000</t>
  </si>
  <si>
    <t>21H0001405</t>
  </si>
  <si>
    <t>23C2831601</t>
  </si>
  <si>
    <t>21E0665350</t>
  </si>
  <si>
    <t>20K0696607</t>
  </si>
  <si>
    <t>21H0748795</t>
  </si>
  <si>
    <t>21B0631104</t>
  </si>
  <si>
    <t>20G0926014</t>
  </si>
  <si>
    <t>23G2304202</t>
  </si>
  <si>
    <t>22K1685406</t>
  </si>
  <si>
    <t>23L1199759</t>
  </si>
  <si>
    <t>21H0891311</t>
  </si>
  <si>
    <t>24A2806776</t>
  </si>
  <si>
    <t>21H0888186</t>
  </si>
  <si>
    <t>23J1338137</t>
  </si>
  <si>
    <t>21L0355178</t>
  </si>
  <si>
    <t>23H1104566</t>
  </si>
  <si>
    <t>23I1257019</t>
  </si>
  <si>
    <t>23G0006601</t>
  </si>
  <si>
    <t>Indexadores</t>
  </si>
  <si>
    <t>Segmentos</t>
  </si>
  <si>
    <t>Emissores</t>
  </si>
  <si>
    <t>% de CRIs</t>
  </si>
  <si>
    <t>% do PL</t>
  </si>
  <si>
    <t>Devedor</t>
  </si>
  <si>
    <t>IF</t>
  </si>
  <si>
    <t>IPCA +</t>
  </si>
  <si>
    <t>Tesouro Nacional</t>
  </si>
  <si>
    <t>Cx.</t>
  </si>
  <si>
    <t>VRTM11</t>
  </si>
  <si>
    <t>FII</t>
  </si>
  <si>
    <t>True</t>
  </si>
  <si>
    <t>Viracopos</t>
  </si>
  <si>
    <t>CRI</t>
  </si>
  <si>
    <t>Canal</t>
  </si>
  <si>
    <t>ForGreen</t>
  </si>
  <si>
    <t>Habitat</t>
  </si>
  <si>
    <t>Ore</t>
  </si>
  <si>
    <t>Minas Brisa</t>
  </si>
  <si>
    <t>Opea</t>
  </si>
  <si>
    <t>Virgo</t>
  </si>
  <si>
    <t>Pontte</t>
  </si>
  <si>
    <t>Pulverizado Ore</t>
  </si>
  <si>
    <t>Sinal</t>
  </si>
  <si>
    <t>Casa &amp; Vídeo</t>
  </si>
  <si>
    <t>CDI +</t>
  </si>
  <si>
    <t>Teriva</t>
  </si>
  <si>
    <t>Travessia</t>
  </si>
  <si>
    <t>Solfarma</t>
  </si>
  <si>
    <t>Pague Menos</t>
  </si>
  <si>
    <t>CK</t>
  </si>
  <si>
    <t>Sotreq</t>
  </si>
  <si>
    <t>Habitasec</t>
  </si>
  <si>
    <t>Quero Quero</t>
  </si>
  <si>
    <t>Caprem</t>
  </si>
  <si>
    <t>Diferencial</t>
  </si>
  <si>
    <t>Urba</t>
  </si>
  <si>
    <t>Lote5</t>
  </si>
  <si>
    <t>RCP</t>
  </si>
  <si>
    <t>Opy</t>
  </si>
  <si>
    <t>Brasol</t>
  </si>
  <si>
    <t>CitLog Varginha</t>
  </si>
  <si>
    <t>Estado</t>
  </si>
  <si>
    <t>% dos CRIs</t>
  </si>
  <si>
    <t>% da Carteira</t>
  </si>
  <si>
    <t>Saldo MTM
(R$)</t>
  </si>
  <si>
    <t>Taxa MTM</t>
  </si>
  <si>
    <t>Taxa Aquisição</t>
  </si>
  <si>
    <t>Index</t>
  </si>
  <si>
    <t>Emissor</t>
  </si>
  <si>
    <t xml:space="preserve">Setor de Atuação </t>
  </si>
  <si>
    <t>Código</t>
  </si>
  <si>
    <t>Ativo</t>
  </si>
  <si>
    <t>n/a</t>
  </si>
  <si>
    <t>Cota Mercado</t>
  </si>
  <si>
    <t>Cota Patrimonial</t>
  </si>
  <si>
    <t>Rendimento / Cota</t>
  </si>
  <si>
    <t>Resultado / Cota</t>
  </si>
  <si>
    <t>Rendimento</t>
  </si>
  <si>
    <t>Resultado Operacional</t>
  </si>
  <si>
    <t>Despesas Operacionais</t>
  </si>
  <si>
    <t>Total de Despesas</t>
  </si>
  <si>
    <t>Renda Fixa</t>
  </si>
  <si>
    <t>Fundos Imobiliários</t>
  </si>
  <si>
    <t>Outras Receitas</t>
  </si>
  <si>
    <t>CRI - Negociação</t>
  </si>
  <si>
    <t>CRI - Correção Monetária</t>
  </si>
  <si>
    <t>CRI - Juros</t>
  </si>
  <si>
    <t>Receita Operacional</t>
  </si>
  <si>
    <t>EQI Recebíveis Imobiliários 2021</t>
  </si>
  <si>
    <t>EQI Recebíveis Imobiliários 2022</t>
  </si>
  <si>
    <t>EQI Recebíveis Imobiliários 2023</t>
  </si>
  <si>
    <t>EQI Recebíveis Imobiliários 2024</t>
  </si>
  <si>
    <r>
      <t xml:space="preserve">O </t>
    </r>
    <r>
      <rPr>
        <b/>
        <sz val="12"/>
        <color rgb="FF6D6E70"/>
        <rFont val="Compasse"/>
        <family val="2"/>
      </rPr>
      <t xml:space="preserve">EQI Recebíveis Imobiliários FII </t>
    </r>
    <r>
      <rPr>
        <sz val="12"/>
        <color rgb="FF6D6E70"/>
        <rFont val="Compasse"/>
        <family val="2"/>
      </rPr>
      <t>tem como objetivo investir majoritariamente em Certificados de Recebíveis Imobiliários (“CRI”), compondo um portfólio com risco de crédito moderado e rentabilidade alvo de IPCA + 8% ao ano líquido de custos.</t>
    </r>
  </si>
  <si>
    <t>BTG Pactual Serviços Financeiros S.A. DTVM</t>
  </si>
  <si>
    <t>EuQueroInvestir Gestão de Recursos Ltda. (“EQI Asset”)</t>
  </si>
  <si>
    <t>A Taxa de Administração será equivalente a 1,00% (um inteiro por cento) ao ano, à razão de 1/12 avos, calculado sobre o valor contábil do patrimônio líquido do fundo</t>
  </si>
  <si>
    <t>PORTFÓLIO DO FUNDO</t>
  </si>
  <si>
    <t>DRE GERENCIAL</t>
  </si>
  <si>
    <t>Descrição</t>
  </si>
  <si>
    <t>Garantias</t>
  </si>
  <si>
    <t>Operação com risco de crédito da construtora e incorporadora Habitat e baseada em 8 projetos, sendo 3 residenciais, 1 escritório e 4 loteamentos.</t>
  </si>
  <si>
    <t>AF, AF de cotas, CF, FR, FD e Aval</t>
  </si>
  <si>
    <t>CRI baseado em um galpão logístico localizado em Varginha-MG, locado para empresas do ramo logístico, automotivo e farmacêutico através de contratos típicos e atípicos. O CRI conta com garantia do ativo logístico.</t>
  </si>
  <si>
    <t>AF e FD</t>
  </si>
  <si>
    <t>AF, CF, FR, FD e Aval</t>
  </si>
  <si>
    <t>CRI baseado em 3 usinas de geração solar distribuída desenvolvidas pelo Grupo Oeste. O CRI conta com garantia de subordinação da Brasol.</t>
  </si>
  <si>
    <t>AF, CF, FR, FD e Subordinação</t>
  </si>
  <si>
    <t>CRI baseado em centro logístico localizado em Itupeva-SP, locado para empresas do ramo de construção civil, comércio eletrônico e embalagens. O CRI conta com garantia do ativo logístico.</t>
  </si>
  <si>
    <t>CRI baseado em 9 usinas de geração solar distribuída desenvolvidas pela ForGreen.</t>
  </si>
  <si>
    <t>CRI baseado no Hospital Metropolitano Dr. Célio de Castro localizado em Belo Horizonte-MG. O CRI conta com garantia do aval da Opy Health.</t>
  </si>
  <si>
    <t>CF, FR, FD e Aval</t>
  </si>
  <si>
    <t>CRI baseado em centro logístico localizado em Rio Claro-SP, locado para empresas do ramo automotivo, alimentício, logístico, industrial, construção civil e eletrodomésticos. O CRI conta com garantia do ativo logístico.</t>
  </si>
  <si>
    <t>AF, CF, FR e Aval</t>
  </si>
  <si>
    <t>CRI baseado em 2 loteamentos em desenvolvimento em Campinas-SP pela incorporadora e loteadora Lote5. O CRI conta com garantia do terreno dos projetos.</t>
  </si>
  <si>
    <t>CRI baseado em uma carteira de recebíveis de loteamentos originada pela Urba. O CRI conta com garantia de subordinação da Urba. A parcela adquirida tem natureza mezanino na estrutura de subordinação dessa operação.</t>
  </si>
  <si>
    <t>CRI baseado em 3 usinas de geração solar distribuída desenvolvidas pela KWP Energia e Diferencial Energia.</t>
  </si>
  <si>
    <t xml:space="preserve">CRI baseado em projeto residencial em desenvolvimento localizado em Rio Claro-SP. </t>
  </si>
  <si>
    <t>AF, CF, FR e Fiança</t>
  </si>
  <si>
    <t>CRI baseado em um galpão logístico localizado em Sapiranga-RS, locado para a Quero Quero. O CRI conta com garantia do ativo logístico.</t>
  </si>
  <si>
    <t>CRI baseado em um galpão logístico localizado em Parauapebas-PA, locado para a Sotreq. O CRI conta com garantia do ativo logístico.</t>
  </si>
  <si>
    <t xml:space="preserve">CRI baseado em projeto residencial em desenvolvimento localizado na Praia Brava em Itajaí-SC. </t>
  </si>
  <si>
    <t>CRI baseado em 6 usinas de geração solar distribuída desenvolvidas pela Brasol para atender a rede de farmácias Pague Menos.</t>
  </si>
  <si>
    <t>AF, AF de cotas, CF e FR</t>
  </si>
  <si>
    <t>CRI baseado em um galpão logístico localizado em Bebedouro-SP, locado para a Solfarma Distribuidora. O CRI conta com garantia do ativo logístico.</t>
  </si>
  <si>
    <t>AF, CF, FR e FD</t>
  </si>
  <si>
    <t>CRI baseado em 2 loteamentos localizados em Bragança Paulista e Atibaia-SP.</t>
  </si>
  <si>
    <t>AF de cotas, CF, FR, FD e Aval</t>
  </si>
  <si>
    <t>Operação com risco de crédito da varejista Casa e Vídeo.</t>
  </si>
  <si>
    <t>CF</t>
  </si>
  <si>
    <t>Operação com risco de crédito da rede de concessionárias Grupo Sinal, com garantia de galpão logístico localizado em São Caetano do Sul-SP, locado para o Grupo entre outros imóveis que perfazem 160% do saldo devedor.</t>
  </si>
  <si>
    <t>AF, FR e Fiança</t>
  </si>
  <si>
    <t>CRI baseado em uma carteira de recebíveis de financiamentos garantidos por imóveis residenciais, originada pelas construtoras e incorporadoras Helbor, Setin e Ekko e pela Faria Lima Capital. A parcela adquirida tem natureza sênior na estrutura de subordinação da operação.</t>
  </si>
  <si>
    <t>AF, FD e Subordinação</t>
  </si>
  <si>
    <t>CRI baseado em uma carteira de recebíveis de empréstimos garantidos por imóveis residenciais (“Home Equity”), originada pela Pontte. A carteira que lastreia o CRI é muito diversificada e com LTV baixo (~40%). A parcela adquirida tem natureza sênior na estrutura de subordinação da operação.</t>
  </si>
  <si>
    <t>AF, FR, FD e Subordinação</t>
  </si>
  <si>
    <t xml:space="preserve">CRI baseado em projeto residencial em desenvolvimento localizado em Nova Lima-MG. </t>
  </si>
  <si>
    <t>CRI baseado em uma carteira de recebíveis de empréstimos garantidos por imóveis residenciais (“Home Equity”), originada pela Creditas. A carteira que lastreia o CRI é muito diversificada e com LTV baixo (~40%). A parcela adquirida tem natureza sênior na estrutura de subordinação da operação.</t>
  </si>
  <si>
    <t xml:space="preserve">CRI baseado em 2 projetos residenciais em desenvolvimento localizados em Blumenau e Porto Belo-SC. </t>
  </si>
  <si>
    <t>23J2272828</t>
  </si>
  <si>
    <t>PHV</t>
  </si>
  <si>
    <t>21L0355069</t>
  </si>
  <si>
    <t xml:space="preserve">CRI baseado em projeto residencial em desenvolvimento localizado em Belo Horizonte-MG. </t>
  </si>
  <si>
    <t>EQI Recebíveis Imobiliários 2025</t>
  </si>
  <si>
    <t>25C3605714</t>
  </si>
  <si>
    <t>Lotus II</t>
  </si>
  <si>
    <t>24L2720216</t>
  </si>
  <si>
    <t>Gt Urbanismo</t>
  </si>
  <si>
    <t>Pré</t>
  </si>
  <si>
    <t>20J0837185</t>
  </si>
  <si>
    <t>Creditas</t>
  </si>
  <si>
    <t>Vert</t>
  </si>
  <si>
    <t>23D1293668</t>
  </si>
  <si>
    <t>MS Incorporadora</t>
  </si>
  <si>
    <t xml:space="preserve">Operação com risco de crédito da construtora e incorporadora Lotus baseado na conta vinculada do BRB para o Lotus Tower </t>
  </si>
  <si>
    <t>CRI baseado em 3 loteamentos, sendo um em Goiânia e dois em Cuiabá.</t>
  </si>
  <si>
    <t>25F8582172</t>
  </si>
  <si>
    <t>DUE III</t>
  </si>
  <si>
    <t>CRI baseado em projeto residencial em desenvolvimento localizado em Ipojuca-PE.</t>
  </si>
  <si>
    <t>Lotus Kasa &amp; Vert</t>
  </si>
  <si>
    <t>25I4350572</t>
  </si>
  <si>
    <t>CRI baseado em projetos residenciais em desenvolvimento localizados em Brasília-DF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</si>
</sst>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_ ;\-#,##0.00\ "/>
    <numFmt numFmtId="165" formatCode="0.0%"/>
    <numFmt numFmtId="166" formatCode="_(* #,##0.00_);_(* \(#,##0.00\);_(* &quot;-&quot;??_);_(@_)"/>
    <numFmt numFmtId="167" formatCode="#,##0_ ;\-#,##0\ "/>
    <numFmt numFmtId="168" formatCode="[$-416]mmm\-yy;@"/>
    <numFmt numFmtId="169" formatCode="_(* #,##0_);_(* \(#,##0\);_(* &quot;-&quot;??_);_(@_)"/>
    <numFmt numFmtId="170" formatCode="0.000"/>
    <numFmt numFmtId="171" formatCode="mmm\-yy"/>
    <numFmt numFmtId="172" formatCode="#,##0.0"/>
    <numFmt numFmtId="173" formatCode="0.0000"/>
    <numFmt numFmtId="174" formatCode="_-* #,##0.0_-;\-* #,##0.0_-;_-* &quot;-&quot;??_-;_-@_-"/>
  </numFmts>
  <fonts count="31">
    <font>
      <sz val="11"/>
      <color theme="1"/>
      <name val="Aptos Narrow"/>
      <family val="2"/>
      <scheme val="minor"/>
    </font>
    <font>
      <sz val="11"/>
      <color theme="1"/>
      <name val="Aptos Narrow"/>
      <family val="2"/>
      <scheme val="minor"/>
    </font>
    <font>
      <sz val="11"/>
      <color theme="1"/>
      <name val="Compasse"/>
      <family val="2"/>
    </font>
    <font>
      <sz val="12"/>
      <color rgb="FF6D6E70"/>
      <name val="Compasse"/>
      <family val="2"/>
    </font>
    <font>
      <b/>
      <sz val="12"/>
      <color theme="2" tint="-0.749992370372631"/>
      <name val="Compasse"/>
      <family val="2"/>
    </font>
    <font>
      <sz val="10"/>
      <color theme="1"/>
      <name val="Compasse"/>
      <family val="2"/>
    </font>
    <font>
      <sz val="14"/>
      <color rgb="FF0A4263"/>
      <name val="Compasse"/>
      <family val="2"/>
    </font>
    <font>
      <b/>
      <sz val="12"/>
      <color rgb="FF6D6E70"/>
      <name val="Compasse"/>
      <family val="2"/>
    </font>
    <font>
      <b/>
      <sz val="12"/>
      <color rgb="FF0A4263"/>
      <name val="Compasse"/>
      <family val="2"/>
    </font>
    <font>
      <b/>
      <sz val="16"/>
      <color rgb="FF0A4263"/>
      <name val="Compasse"/>
      <family val="2"/>
    </font>
    <font>
      <sz val="10"/>
      <name val="Arial"/>
      <family val="2"/>
    </font>
    <font>
      <sz val="10"/>
      <color theme="1"/>
      <name val="Aptos Narrow"/>
      <family val="2"/>
      <scheme val="minor"/>
    </font>
    <font>
      <sz val="10"/>
      <color rgb="FF004263"/>
      <name val="Compasse Light"/>
      <family val="2"/>
    </font>
    <font>
      <b/>
      <sz val="10"/>
      <color rgb="FF474644"/>
      <name val="Compasse"/>
      <family val="2"/>
    </font>
    <font>
      <b/>
      <sz val="12"/>
      <color theme="0"/>
      <name val="Compasse"/>
      <family val="2"/>
    </font>
    <font>
      <sz val="12"/>
      <color theme="1"/>
      <name val="Aptos Narrow"/>
      <family val="2"/>
      <scheme val="minor"/>
    </font>
    <font>
      <sz val="11"/>
      <color theme="0"/>
      <name val="Aptos Narrow"/>
      <family val="2"/>
      <scheme val="minor"/>
    </font>
    <font>
      <b/>
      <sz val="9"/>
      <color rgb="FFFFFFFF"/>
      <name val="Compasse"/>
    </font>
    <font>
      <sz val="9"/>
      <color rgb="FF635C56"/>
      <name val="Compasse"/>
    </font>
    <font>
      <b/>
      <sz val="10"/>
      <color rgb="FF404040"/>
      <name val="Compasse"/>
      <family val="2"/>
    </font>
    <font>
      <sz val="10"/>
      <color rgb="FF404040"/>
      <name val="Compasse Light"/>
      <family val="2"/>
    </font>
    <font>
      <b/>
      <sz val="10"/>
      <color rgb="FF0A4263"/>
      <name val="Compasse"/>
      <family val="2"/>
    </font>
    <font>
      <sz val="11"/>
      <color rgb="FFFF0000"/>
      <name val="Compasse"/>
      <family val="2"/>
    </font>
    <font>
      <sz val="11"/>
      <name val="Aptos Narrow"/>
      <family val="2"/>
      <scheme val="minor"/>
    </font>
    <font>
      <sz val="11"/>
      <color rgb="FFFF0000"/>
      <name val="Aptos Narrow"/>
      <family val="2"/>
      <scheme val="minor"/>
    </font>
    <font>
      <sz val="11"/>
      <color rgb="FFFF0000"/>
      <name val="Segoe UI"/>
      <family val="2"/>
    </font>
    <font>
      <sz val="9"/>
      <color rgb="FF635C56"/>
      <name val="Segoe UI"/>
    </font>
    <font>
      <b/>
      <sz val="12"/>
      <color theme="0"/>
      <name val="Segoe UI"/>
      <family val="2"/>
    </font>
    <font>
      <sz val="11"/>
      <color theme="0"/>
      <name val="Segoe UI"/>
      <family val="2"/>
    </font>
    <font>
      <sz val="9"/>
      <color theme="0"/>
      <name val="Segoe UI"/>
      <family val="2"/>
    </font>
    <font>
      <sz val="12"/>
      <color theme="0"/>
      <name val="Segoe UI"/>
      <family val="2"/>
    </font>
  </fonts>
  <fills count="6">
    <fill>
      <patternFill patternType="none"/>
    </fill>
    <fill>
      <patternFill patternType="gray125"/>
    </fill>
    <fill>
      <patternFill patternType="solid">
        <fgColor rgb="FF003768"/>
        <bgColor indexed="64"/>
      </patternFill>
    </fill>
    <fill>
      <patternFill patternType="solid">
        <fgColor rgb="FFF2F2F2"/>
        <bgColor indexed="64"/>
      </patternFill>
    </fill>
    <fill>
      <patternFill patternType="solid">
        <fgColor rgb="FF004263"/>
        <bgColor indexed="64"/>
      </patternFill>
    </fill>
    <fill>
      <patternFill patternType="solid">
        <fgColor theme="0" tint="-4.9989318521683403E-2"/>
        <bgColor indexed="64"/>
      </patternFill>
    </fill>
  </fills>
  <borders count="5">
    <border>
      <left/>
      <right/>
      <top/>
      <bottom/>
      <diagonal/>
    </border>
    <border>
      <left/>
      <right/>
      <top style="dashed">
        <color theme="0" tint="-0.24994659260841701"/>
      </top>
      <bottom style="dashed">
        <color theme="0" tint="-0.24994659260841701"/>
      </bottom>
      <diagonal/>
    </border>
    <border>
      <left/>
      <right/>
      <top/>
      <bottom style="dashed">
        <color theme="0" tint="-0.24994659260841701"/>
      </bottom>
      <diagonal/>
    </border>
    <border>
      <left/>
      <right/>
      <top/>
      <bottom style="dashed">
        <color rgb="FFBFBFBF"/>
      </bottom>
      <diagonal/>
    </border>
    <border>
      <left/>
      <right/>
      <top style="dashed">
        <color rgb="FFBFBFBF"/>
      </top>
      <bottom style="dashed">
        <color rgb="FFBFBFBF"/>
      </bottom>
      <diagonal/>
    </border>
  </borders>
  <cellStyleXfs count="6">
    <xf numFmtId="0" fontId="0" fillId="0" borderId="0"/>
    <xf numFmtId="9" fontId="1"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43" fontId="1"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6" fillId="0" borderId="0" xfId="0" applyFont="1"/>
    <xf numFmtId="0" fontId="2" fillId="0" borderId="0" xfId="0" applyFont="1" applyAlignment="1">
      <alignment horizontal="left"/>
    </xf>
    <xf numFmtId="0" fontId="0" fillId="0" borderId="0" xfId="0" applyAlignment="1">
      <alignment horizontal="left"/>
    </xf>
    <xf numFmtId="0" fontId="8" fillId="0" borderId="0" xfId="0" applyFont="1"/>
    <xf numFmtId="0" fontId="9" fillId="0" borderId="0" xfId="0" applyFont="1"/>
    <xf numFmtId="164" fontId="11" fillId="0" borderId="0" xfId="0" applyNumberFormat="1" applyFont="1" applyAlignment="1">
      <alignment horizontal="center" vertical="center"/>
    </xf>
    <xf numFmtId="169" fontId="12" fillId="0" borderId="0" xfId="2" applyNumberFormat="1" applyFont="1" applyAlignment="1">
      <alignment horizontal="center" vertical="center"/>
    </xf>
    <xf numFmtId="164" fontId="13" fillId="0" borderId="0" xfId="2" applyNumberFormat="1" applyFont="1" applyAlignment="1">
      <alignment horizontal="center" vertical="center"/>
    </xf>
    <xf numFmtId="164" fontId="13" fillId="0" borderId="0" xfId="3" applyNumberFormat="1" applyFont="1" applyAlignment="1">
      <alignment horizontal="center" vertical="center"/>
    </xf>
    <xf numFmtId="164" fontId="13" fillId="0" borderId="0" xfId="3" applyNumberFormat="1" applyFont="1" applyAlignment="1">
      <alignment horizontal="left" vertical="center" indent="1"/>
    </xf>
    <xf numFmtId="1" fontId="14" fillId="4" borderId="0" xfId="4" quotePrefix="1" applyNumberFormat="1" applyFont="1" applyFill="1" applyAlignment="1">
      <alignment horizontal="center" vertical="center"/>
    </xf>
    <xf numFmtId="164" fontId="15" fillId="0" borderId="0" xfId="0" applyNumberFormat="1" applyFont="1" applyAlignment="1">
      <alignment horizontal="center" vertical="center"/>
    </xf>
    <xf numFmtId="171" fontId="14" fillId="4" borderId="0" xfId="4" quotePrefix="1" applyNumberFormat="1" applyFont="1" applyFill="1" applyAlignment="1">
      <alignment horizontal="center" vertical="center"/>
    </xf>
    <xf numFmtId="164" fontId="14" fillId="4" borderId="0" xfId="3" applyNumberFormat="1" applyFont="1" applyFill="1" applyAlignment="1">
      <alignment horizontal="center" vertical="center"/>
    </xf>
    <xf numFmtId="164" fontId="14" fillId="4" borderId="0" xfId="3" applyNumberFormat="1" applyFont="1" applyFill="1" applyAlignment="1">
      <alignment horizontal="left" vertical="center" indent="1"/>
    </xf>
    <xf numFmtId="0" fontId="16" fillId="0" borderId="0" xfId="0" applyFont="1"/>
    <xf numFmtId="0" fontId="17" fillId="2" borderId="0" xfId="0" applyFont="1" applyFill="1" applyAlignment="1">
      <alignment horizontal="center" vertical="center" wrapText="1" readingOrder="1"/>
    </xf>
    <xf numFmtId="3" fontId="17" fillId="2" borderId="0" xfId="0" applyNumberFormat="1" applyFont="1" applyFill="1" applyAlignment="1">
      <alignment horizontal="center" vertical="center" wrapText="1" readingOrder="1"/>
    </xf>
    <xf numFmtId="0" fontId="18" fillId="0" borderId="1" xfId="0" applyFont="1" applyBorder="1" applyAlignment="1">
      <alignment horizontal="center" vertical="center" wrapText="1" readingOrder="1"/>
    </xf>
    <xf numFmtId="10" fontId="17" fillId="2" borderId="0" xfId="1" applyNumberFormat="1" applyFont="1" applyFill="1" applyAlignment="1">
      <alignment horizontal="center" vertical="center" wrapText="1" readingOrder="1"/>
    </xf>
    <xf numFmtId="165" fontId="17" fillId="2" borderId="0" xfId="0" applyNumberFormat="1" applyFont="1" applyFill="1" applyAlignment="1">
      <alignment horizontal="center" vertical="center" wrapText="1" readingOrder="1"/>
    </xf>
    <xf numFmtId="9" fontId="17" fillId="2" borderId="0" xfId="0" applyNumberFormat="1" applyFont="1" applyFill="1" applyAlignment="1">
      <alignment horizontal="center" vertical="center" wrapText="1" readingOrder="1"/>
    </xf>
    <xf numFmtId="168" fontId="17" fillId="2" borderId="0" xfId="0" applyNumberFormat="1" applyFont="1" applyFill="1" applyAlignment="1">
      <alignment horizontal="center" vertical="center" wrapText="1" readingOrder="1"/>
    </xf>
    <xf numFmtId="0" fontId="19" fillId="3" borderId="0" xfId="0" applyFont="1" applyFill="1" applyAlignment="1">
      <alignment vertical="center"/>
    </xf>
    <xf numFmtId="3" fontId="19" fillId="3" borderId="0" xfId="0" applyNumberFormat="1" applyFont="1" applyFill="1" applyAlignment="1">
      <alignment horizontal="center" vertical="center"/>
    </xf>
    <xf numFmtId="0" fontId="20" fillId="0" borderId="0" xfId="0" applyFont="1" applyAlignment="1">
      <alignment horizontal="left" vertical="center" indent="1"/>
    </xf>
    <xf numFmtId="3" fontId="20" fillId="0" borderId="0" xfId="0" applyNumberFormat="1" applyFont="1" applyAlignment="1">
      <alignment horizontal="center" vertical="center"/>
    </xf>
    <xf numFmtId="0" fontId="19" fillId="0" borderId="0" xfId="0" applyFont="1" applyAlignment="1">
      <alignment vertical="center"/>
    </xf>
    <xf numFmtId="3" fontId="19" fillId="0" borderId="0" xfId="0" applyNumberFormat="1" applyFont="1" applyAlignment="1">
      <alignment horizontal="center" vertical="center"/>
    </xf>
    <xf numFmtId="0" fontId="21" fillId="3" borderId="0" xfId="0" applyFont="1" applyFill="1" applyAlignment="1">
      <alignment vertical="center"/>
    </xf>
    <xf numFmtId="170" fontId="21" fillId="3" borderId="0" xfId="0" applyNumberFormat="1" applyFont="1" applyFill="1" applyAlignment="1">
      <alignment horizontal="center" vertical="center"/>
    </xf>
    <xf numFmtId="2" fontId="21" fillId="3" borderId="0" xfId="0" applyNumberFormat="1" applyFont="1" applyFill="1" applyAlignment="1">
      <alignment horizontal="center" vertical="center"/>
    </xf>
    <xf numFmtId="4" fontId="21" fillId="3" borderId="0" xfId="0" applyNumberFormat="1" applyFont="1" applyFill="1" applyAlignment="1">
      <alignment horizontal="center" vertical="center"/>
    </xf>
    <xf numFmtId="43" fontId="5" fillId="0" borderId="0" xfId="5" applyFont="1" applyAlignment="1">
      <alignment horizontal="center" vertical="center"/>
    </xf>
    <xf numFmtId="172" fontId="17" fillId="2" borderId="0" xfId="0" applyNumberFormat="1" applyFont="1" applyFill="1" applyAlignment="1">
      <alignment horizontal="center" vertical="center" wrapText="1" readingOrder="1"/>
    </xf>
    <xf numFmtId="43" fontId="2" fillId="0" borderId="0" xfId="5" applyFont="1"/>
    <xf numFmtId="173" fontId="21" fillId="3" borderId="0" xfId="0" applyNumberFormat="1" applyFont="1" applyFill="1" applyAlignment="1">
      <alignment horizontal="center" vertical="center"/>
    </xf>
    <xf numFmtId="174" fontId="2" fillId="0" borderId="0" xfId="0" applyNumberFormat="1" applyFont="1"/>
    <xf numFmtId="0" fontId="22" fillId="0" borderId="0" xfId="0" applyFont="1"/>
    <xf numFmtId="0" fontId="23" fillId="0" borderId="0" xfId="0" applyFont="1"/>
    <xf numFmtId="165" fontId="17" fillId="2" borderId="0" xfId="1" applyNumberFormat="1" applyFont="1" applyFill="1" applyAlignment="1">
      <alignment horizontal="center" vertical="center" wrapText="1" readingOrder="1"/>
    </xf>
    <xf numFmtId="0" fontId="24" fillId="0" borderId="0" xfId="0" applyFont="1"/>
    <xf numFmtId="0" fontId="25" fillId="0" borderId="0" xfId="0" applyFont="1" applyAlignment="1">
      <alignment horizontal="center"/>
    </xf>
    <xf numFmtId="0" fontId="26" fillId="0" borderId="3" xfId="0" applyFont="1" applyBorder="1" applyAlignment="1">
      <alignment horizontal="center" vertical="center" wrapText="1" readingOrder="1"/>
    </xf>
    <xf numFmtId="10" fontId="26" fillId="0" borderId="3" xfId="0" applyNumberFormat="1" applyFont="1" applyBorder="1" applyAlignment="1">
      <alignment horizontal="center" vertical="center" wrapText="1" readingOrder="1"/>
    </xf>
    <xf numFmtId="3" fontId="26" fillId="0" borderId="3" xfId="0" applyNumberFormat="1" applyFont="1" applyBorder="1" applyAlignment="1">
      <alignment horizontal="center" vertical="center" wrapText="1" readingOrder="1"/>
    </xf>
    <xf numFmtId="0" fontId="26" fillId="0" borderId="4" xfId="0" applyFont="1" applyBorder="1" applyAlignment="1">
      <alignment horizontal="center" vertical="center" wrapText="1" readingOrder="1"/>
    </xf>
    <xf numFmtId="10" fontId="26" fillId="0" borderId="4" xfId="0" applyNumberFormat="1" applyFont="1" applyBorder="1" applyAlignment="1">
      <alignment horizontal="center" vertical="center" wrapText="1" readingOrder="1"/>
    </xf>
    <xf numFmtId="165" fontId="18" fillId="0" borderId="2" xfId="1" applyNumberFormat="1" applyFont="1" applyFill="1" applyBorder="1" applyAlignment="1">
      <alignment horizontal="center" vertical="center" wrapText="1" readingOrder="1"/>
    </xf>
    <xf numFmtId="172" fontId="18" fillId="0" borderId="2" xfId="1" applyNumberFormat="1" applyFont="1" applyFill="1" applyBorder="1" applyAlignment="1">
      <alignment horizontal="center" vertical="center" wrapText="1" readingOrder="1"/>
    </xf>
    <xf numFmtId="11" fontId="26" fillId="0" borderId="4" xfId="0" applyNumberFormat="1" applyFont="1" applyBorder="1" applyAlignment="1">
      <alignment horizontal="center" vertical="center" wrapText="1" readingOrder="1"/>
    </xf>
    <xf numFmtId="0" fontId="26" fillId="3" borderId="4" xfId="0" applyFont="1" applyFill="1" applyBorder="1" applyAlignment="1">
      <alignment horizontal="center" vertical="center" wrapText="1" readingOrder="1"/>
    </xf>
    <xf numFmtId="9" fontId="18" fillId="0" borderId="2" xfId="1" applyFont="1" applyFill="1" applyBorder="1" applyAlignment="1">
      <alignment horizontal="center" vertical="center" wrapText="1" readingOrder="1"/>
    </xf>
    <xf numFmtId="9" fontId="26" fillId="3" borderId="4" xfId="0" applyNumberFormat="1" applyFont="1" applyFill="1" applyBorder="1" applyAlignment="1">
      <alignment horizontal="center" vertical="center" wrapText="1" readingOrder="1"/>
    </xf>
    <xf numFmtId="9" fontId="26" fillId="0" borderId="4" xfId="0" applyNumberFormat="1" applyFont="1" applyBorder="1" applyAlignment="1">
      <alignment horizontal="center" vertical="center" wrapText="1" readingOrder="1"/>
    </xf>
    <xf numFmtId="168" fontId="18" fillId="0" borderId="2" xfId="1" applyNumberFormat="1" applyFont="1" applyFill="1" applyBorder="1" applyAlignment="1">
      <alignment horizontal="center" vertical="center" wrapText="1" readingOrder="1"/>
    </xf>
    <xf numFmtId="164" fontId="27" fillId="0" borderId="0" xfId="3" applyNumberFormat="1" applyFont="1" applyAlignment="1">
      <alignment horizontal="center" vertical="center"/>
    </xf>
    <xf numFmtId="167" fontId="27" fillId="0" borderId="0" xfId="2" applyNumberFormat="1" applyFont="1" applyBorder="1" applyAlignment="1">
      <alignment horizontal="center" vertical="center"/>
    </xf>
    <xf numFmtId="167" fontId="27" fillId="0" borderId="0" xfId="2" applyNumberFormat="1" applyFont="1" applyFill="1" applyBorder="1" applyAlignment="1">
      <alignment horizontal="center" vertical="center"/>
    </xf>
    <xf numFmtId="0" fontId="28" fillId="0" borderId="0" xfId="0" applyFont="1"/>
    <xf numFmtId="0" fontId="29" fillId="0" borderId="0" xfId="0" applyFont="1" applyAlignment="1">
      <alignment horizontal="center" vertical="center" wrapText="1" readingOrder="1"/>
    </xf>
    <xf numFmtId="165" fontId="30" fillId="0" borderId="0" xfId="1" applyNumberFormat="1" applyFont="1" applyAlignment="1">
      <alignment horizontal="center" vertical="center"/>
    </xf>
    <xf numFmtId="0" fontId="28" fillId="0" borderId="0" xfId="0" applyFont="1" applyAlignment="1">
      <alignment horizontal="center"/>
    </xf>
    <xf numFmtId="0" fontId="30" fillId="0" borderId="0" xfId="0" applyFont="1" applyAlignment="1">
      <alignment horizontal="center"/>
    </xf>
    <xf numFmtId="0" fontId="30" fillId="0" borderId="0" xfId="0" applyFont="1" applyAlignment="1">
      <alignment horizontal="center" vertical="center" wrapText="1" readingOrder="1"/>
    </xf>
    <xf numFmtId="9" fontId="30" fillId="0" borderId="0" xfId="1" applyFont="1" applyAlignment="1">
      <alignment horizontal="center"/>
    </xf>
    <xf numFmtId="165" fontId="16" fillId="0" borderId="0" xfId="1" applyNumberFormat="1" applyFont="1" applyAlignment="1">
      <alignment horizontal="center"/>
    </xf>
    <xf numFmtId="172" fontId="18" fillId="0" borderId="0" xfId="1" applyNumberFormat="1" applyFont="1" applyFill="1" applyBorder="1" applyAlignment="1">
      <alignment horizontal="center" vertical="center" wrapText="1" readingOrder="1"/>
    </xf>
    <xf numFmtId="9" fontId="18" fillId="0" borderId="0" xfId="1" applyFont="1" applyFill="1" applyBorder="1" applyAlignment="1">
      <alignment horizontal="center" vertical="center" wrapText="1" readingOrder="1"/>
    </xf>
    <xf numFmtId="168" fontId="18" fillId="0" borderId="0" xfId="1" applyNumberFormat="1" applyFont="1" applyFill="1" applyBorder="1" applyAlignment="1">
      <alignment horizontal="center" vertical="center" wrapText="1" readingOrder="1"/>
    </xf>
    <xf numFmtId="3" fontId="26" fillId="5" borderId="3" xfId="0" applyNumberFormat="1"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10" fontId="26" fillId="5" borderId="4" xfId="0" applyNumberFormat="1" applyFont="1" applyFill="1" applyBorder="1" applyAlignment="1">
      <alignment horizontal="center" vertical="center" wrapText="1" readingOrder="1"/>
    </xf>
    <xf numFmtId="0" fontId="26" fillId="5" borderId="4" xfId="0" applyFont="1" applyFill="1" applyBorder="1" applyAlignment="1">
      <alignment horizontal="center" vertical="center" wrapText="1" readingOrder="1"/>
    </xf>
    <xf numFmtId="0" fontId="3" fillId="0" borderId="0" xfId="0" applyFont="1" applyAlignment="1">
      <alignment horizontal="left" vertical="center" wrapText="1"/>
    </xf>
  </cellXfs>
  <cellStyles count="6">
    <cellStyle name="Normal" xfId="0" builtinId="0"/>
    <cellStyle name="Normal 3" xfId="3" xr:uid="{66839948-7993-4FC5-97C1-1A82E0FC9E2B}"/>
    <cellStyle name="Normal_Projetos_2tri05" xfId="4" xr:uid="{8C2008AF-8F41-4589-963F-6A7D85AEFC0D}"/>
    <cellStyle name="Porcentagem" xfId="1" builtinId="5"/>
    <cellStyle name="Vírgula" xfId="5" builtinId="3"/>
    <cellStyle name="Vírgula 2" xfId="2" xr:uid="{8A39941F-757F-4BC8-880D-EB5E3FFD20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0/07/relationships/rdRichValueWebImage" Target="richData/rdRichValueWebImage.xml"/><Relationship Id="rId13" Type="http://schemas.microsoft.com/office/2017/06/relationships/rdSupportingPropertyBagStructure" Target="richData/rdsupportingpropertybagstructure.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06/relationships/richStyles" Target="richData/rich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Array" Target="richData/rdarray.xml"/><Relationship Id="rId5" Type="http://schemas.openxmlformats.org/officeDocument/2006/relationships/styles" Target="styles.xml"/><Relationship Id="rId15" Type="http://schemas.microsoft.com/office/2017/06/relationships/rdRichValueTypes" Target="richData/rdRichValueTyp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microsoft.com/office/2017/06/relationships/rdSupportingPropertyBag" Target="richData/rdsupportingpropertybag.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pt-BR"/>
              <a:t>% dos CRIs por Vencimento e Duration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title>
    <c:autoTitleDeleted val="0"/>
    <c:plotArea>
      <c:layout/>
      <c:barChart>
        <c:barDir val="col"/>
        <c:grouping val="clustered"/>
        <c:varyColors val="0"/>
        <c:ser>
          <c:idx val="0"/>
          <c:order val="0"/>
          <c:tx>
            <c:strRef>
              <c:f>Portfólio!$C$134</c:f>
              <c:strCache>
                <c:ptCount val="1"/>
                <c:pt idx="0">
                  <c:v>Vencimento</c:v>
                </c:pt>
              </c:strCache>
            </c:strRef>
          </c:tx>
          <c:spPr>
            <a:solidFill>
              <a:srgbClr val="1D86B5"/>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Portfólio!$B$135:$B$143</c:f>
              <c:strCache>
                <c:ptCount val="9"/>
                <c:pt idx="0">
                  <c:v>2025</c:v>
                </c:pt>
                <c:pt idx="1">
                  <c:v>2026</c:v>
                </c:pt>
                <c:pt idx="2">
                  <c:v>2027</c:v>
                </c:pt>
                <c:pt idx="3">
                  <c:v>2028</c:v>
                </c:pt>
                <c:pt idx="4">
                  <c:v>2029</c:v>
                </c:pt>
                <c:pt idx="5">
                  <c:v>2030</c:v>
                </c:pt>
                <c:pt idx="6">
                  <c:v>2031</c:v>
                </c:pt>
                <c:pt idx="7">
                  <c:v>2032</c:v>
                </c:pt>
                <c:pt idx="8">
                  <c:v>2033+</c:v>
                </c:pt>
              </c:strCache>
            </c:strRef>
          </c:cat>
          <c:val>
            <c:numRef>
              <c:f>Portfólio!$C$135:$C$143</c:f>
              <c:numCache>
                <c:formatCode>0%</c:formatCode>
                <c:ptCount val="9"/>
                <c:pt idx="0">
                  <c:v>0</c:v>
                </c:pt>
                <c:pt idx="1">
                  <c:v>8.8235294117647065E-2</c:v>
                </c:pt>
                <c:pt idx="2">
                  <c:v>5.8823529411764705E-2</c:v>
                </c:pt>
                <c:pt idx="3">
                  <c:v>8.8235294117647065E-2</c:v>
                </c:pt>
                <c:pt idx="4">
                  <c:v>0</c:v>
                </c:pt>
                <c:pt idx="5">
                  <c:v>5.8823529411764705E-2</c:v>
                </c:pt>
                <c:pt idx="6">
                  <c:v>0.14705882352941177</c:v>
                </c:pt>
                <c:pt idx="7">
                  <c:v>8.8235294117647065E-2</c:v>
                </c:pt>
                <c:pt idx="8">
                  <c:v>0.41176470588235292</c:v>
                </c:pt>
              </c:numCache>
            </c:numRef>
          </c:val>
          <c:extLst>
            <c:ext xmlns:c16="http://schemas.microsoft.com/office/drawing/2014/chart" uri="{C3380CC4-5D6E-409C-BE32-E72D297353CC}">
              <c16:uniqueId val="{00000000-37A4-476B-BEC7-84F7A98D7414}"/>
            </c:ext>
          </c:extLst>
        </c:ser>
        <c:ser>
          <c:idx val="1"/>
          <c:order val="1"/>
          <c:tx>
            <c:strRef>
              <c:f>Portfólio!$D$134</c:f>
              <c:strCache>
                <c:ptCount val="1"/>
                <c:pt idx="0">
                  <c:v>Duration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Portfólio!$B$135:$B$143</c:f>
              <c:strCache>
                <c:ptCount val="9"/>
                <c:pt idx="0">
                  <c:v>2025</c:v>
                </c:pt>
                <c:pt idx="1">
                  <c:v>2026</c:v>
                </c:pt>
                <c:pt idx="2">
                  <c:v>2027</c:v>
                </c:pt>
                <c:pt idx="3">
                  <c:v>2028</c:v>
                </c:pt>
                <c:pt idx="4">
                  <c:v>2029</c:v>
                </c:pt>
                <c:pt idx="5">
                  <c:v>2030</c:v>
                </c:pt>
                <c:pt idx="6">
                  <c:v>2031</c:v>
                </c:pt>
                <c:pt idx="7">
                  <c:v>2032</c:v>
                </c:pt>
                <c:pt idx="8">
                  <c:v>2033+</c:v>
                </c:pt>
              </c:strCache>
            </c:strRef>
          </c:cat>
          <c:val>
            <c:numRef>
              <c:f>Portfólio!$D$135:$D$143</c:f>
              <c:numCache>
                <c:formatCode>0%</c:formatCode>
                <c:ptCount val="9"/>
                <c:pt idx="0">
                  <c:v>0</c:v>
                </c:pt>
                <c:pt idx="1">
                  <c:v>3.125E-2</c:v>
                </c:pt>
                <c:pt idx="2">
                  <c:v>0.125</c:v>
                </c:pt>
                <c:pt idx="3">
                  <c:v>0.21875</c:v>
                </c:pt>
                <c:pt idx="4">
                  <c:v>0.375</c:v>
                </c:pt>
                <c:pt idx="5">
                  <c:v>6.25E-2</c:v>
                </c:pt>
                <c:pt idx="6">
                  <c:v>6.25E-2</c:v>
                </c:pt>
                <c:pt idx="7">
                  <c:v>0.125</c:v>
                </c:pt>
                <c:pt idx="8">
                  <c:v>0</c:v>
                </c:pt>
              </c:numCache>
            </c:numRef>
          </c:val>
          <c:extLst>
            <c:ext xmlns:c16="http://schemas.microsoft.com/office/drawing/2014/chart" uri="{C3380CC4-5D6E-409C-BE32-E72D297353CC}">
              <c16:uniqueId val="{00000001-37A4-476B-BEC7-84F7A98D7414}"/>
            </c:ext>
          </c:extLst>
        </c:ser>
        <c:dLbls>
          <c:showLegendKey val="0"/>
          <c:showVal val="0"/>
          <c:showCatName val="0"/>
          <c:showSerName val="0"/>
          <c:showPercent val="0"/>
          <c:showBubbleSize val="0"/>
        </c:dLbls>
        <c:gapWidth val="100"/>
        <c:overlap val="-5"/>
        <c:axId val="19988112"/>
        <c:axId val="19989072"/>
      </c:barChart>
      <c:catAx>
        <c:axId val="19988112"/>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crossAx val="19989072"/>
        <c:crosses val="autoZero"/>
        <c:auto val="1"/>
        <c:lblAlgn val="ctr"/>
        <c:lblOffset val="100"/>
        <c:tickMarkSkip val="1"/>
        <c:noMultiLvlLbl val="0"/>
      </c:catAx>
      <c:valAx>
        <c:axId val="19989072"/>
        <c:scaling>
          <c:orientation val="minMax"/>
        </c:scaling>
        <c:delete val="1"/>
        <c:axPos val="l"/>
        <c:numFmt formatCode="0%" sourceLinked="1"/>
        <c:majorTickMark val="none"/>
        <c:minorTickMark val="none"/>
        <c:tickLblPos val="nextTo"/>
        <c:crossAx val="1998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title>
    <c:autoTitleDeleted val="0"/>
    <c:plotArea>
      <c:layout>
        <c:manualLayout>
          <c:layoutTarget val="inner"/>
          <c:xMode val="edge"/>
          <c:yMode val="edge"/>
          <c:x val="0.22093569553805775"/>
          <c:y val="0.1428219494785514"/>
          <c:w val="0.59979549431321089"/>
          <c:h val="0.72175960726595878"/>
        </c:manualLayout>
      </c:layout>
      <c:pieChart>
        <c:varyColors val="1"/>
        <c:ser>
          <c:idx val="0"/>
          <c:order val="0"/>
          <c:tx>
            <c:strRef>
              <c:f>Portfólio!$K$134</c:f>
              <c:strCache>
                <c:ptCount val="1"/>
                <c:pt idx="0">
                  <c:v>Indexador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20-4B18-B2E1-7B2541AB6F79}"/>
              </c:ext>
            </c:extLst>
          </c:dPt>
          <c:dPt>
            <c:idx val="1"/>
            <c:bubble3D val="0"/>
            <c:spPr>
              <a:solidFill>
                <a:srgbClr val="1D86B5"/>
              </a:solidFill>
              <a:ln w="19050">
                <a:solidFill>
                  <a:schemeClr val="lt1"/>
                </a:solidFill>
              </a:ln>
              <a:effectLst/>
            </c:spPr>
            <c:extLst>
              <c:ext xmlns:c16="http://schemas.microsoft.com/office/drawing/2014/chart" uri="{C3380CC4-5D6E-409C-BE32-E72D297353CC}">
                <c16:uniqueId val="{00000003-3620-4B18-B2E1-7B2541AB6F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3E-4591-98F5-6ED9DB884775}"/>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Portfólio!$J$135:$J$137</c:f>
              <c:strCache>
                <c:ptCount val="3"/>
                <c:pt idx="0">
                  <c:v>IPCA</c:v>
                </c:pt>
                <c:pt idx="1">
                  <c:v>CDI </c:v>
                </c:pt>
                <c:pt idx="2">
                  <c:v>Pré</c:v>
                </c:pt>
              </c:strCache>
            </c:strRef>
          </c:cat>
          <c:val>
            <c:numRef>
              <c:f>Portfólio!$K$135:$K$137</c:f>
              <c:numCache>
                <c:formatCode>0%</c:formatCode>
                <c:ptCount val="3"/>
                <c:pt idx="0">
                  <c:v>0.77277666337146222</c:v>
                </c:pt>
                <c:pt idx="1">
                  <c:v>0.10370103948293835</c:v>
                </c:pt>
                <c:pt idx="2">
                  <c:v>2.9493862707826855E-2</c:v>
                </c:pt>
              </c:numCache>
            </c:numRef>
          </c:val>
          <c:extLst>
            <c:ext xmlns:c16="http://schemas.microsoft.com/office/drawing/2014/chart" uri="{C3380CC4-5D6E-409C-BE32-E72D297353CC}">
              <c16:uniqueId val="{00000004-3620-4B18-B2E1-7B2541AB6F7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pt-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Segoe UI" panose="020B0502040204020203" pitchFamily="34" charset="0"/>
              <a:ea typeface="+mn-ea"/>
              <a:cs typeface="Segoe UI" panose="020B0502040204020203" pitchFamily="34" charset="0"/>
            </a:defRPr>
          </a:pPr>
          <a:endParaRPr lang="pt-BR"/>
        </a:p>
      </c:txPr>
    </c:title>
    <c:autoTitleDeleted val="0"/>
    <c:plotArea>
      <c:layout/>
      <c:barChart>
        <c:barDir val="bar"/>
        <c:grouping val="clustered"/>
        <c:varyColors val="0"/>
        <c:ser>
          <c:idx val="0"/>
          <c:order val="0"/>
          <c:tx>
            <c:strRef>
              <c:f>Portfólio!$N$134</c:f>
              <c:strCache>
                <c:ptCount val="1"/>
                <c:pt idx="0">
                  <c:v>Segmento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Portfólio!$M$135:$M$143</c:f>
              <c:strCache>
                <c:ptCount val="8"/>
                <c:pt idx="0">
                  <c:v>Galpões Logísticos</c:v>
                </c:pt>
                <c:pt idx="1">
                  <c:v>Residencial</c:v>
                </c:pt>
                <c:pt idx="2">
                  <c:v>Corporativo</c:v>
                </c:pt>
                <c:pt idx="3">
                  <c:v>Energia</c:v>
                </c:pt>
                <c:pt idx="4">
                  <c:v>Loteamento</c:v>
                </c:pt>
                <c:pt idx="5">
                  <c:v>Outros</c:v>
                </c:pt>
                <c:pt idx="6">
                  <c:v>Home Equity</c:v>
                </c:pt>
                <c:pt idx="7">
                  <c:v>Varejo</c:v>
                </c:pt>
              </c:strCache>
            </c:strRef>
          </c:cat>
          <c:val>
            <c:numRef>
              <c:f>Portfólio!$N$135:$N$143</c:f>
              <c:numCache>
                <c:formatCode>0%</c:formatCode>
                <c:ptCount val="9"/>
                <c:pt idx="0">
                  <c:v>0.26833405864437221</c:v>
                </c:pt>
                <c:pt idx="1">
                  <c:v>0.20010729612242423</c:v>
                </c:pt>
                <c:pt idx="2">
                  <c:v>0.13517504432468649</c:v>
                </c:pt>
                <c:pt idx="3">
                  <c:v>0.12424951804072697</c:v>
                </c:pt>
                <c:pt idx="4">
                  <c:v>6.6669722080107963E-2</c:v>
                </c:pt>
                <c:pt idx="5">
                  <c:v>4.7208449380223887E-2</c:v>
                </c:pt>
                <c:pt idx="6">
                  <c:v>2.0283851131314978E-2</c:v>
                </c:pt>
                <c:pt idx="7">
                  <c:v>4.3943625838370901E-2</c:v>
                </c:pt>
              </c:numCache>
            </c:numRef>
          </c:val>
          <c:extLst>
            <c:ext xmlns:c16="http://schemas.microsoft.com/office/drawing/2014/chart" uri="{C3380CC4-5D6E-409C-BE32-E72D297353CC}">
              <c16:uniqueId val="{00000000-94A8-42BF-9421-52C914533962}"/>
            </c:ext>
          </c:extLst>
        </c:ser>
        <c:dLbls>
          <c:showLegendKey val="0"/>
          <c:showVal val="0"/>
          <c:showCatName val="0"/>
          <c:showSerName val="0"/>
          <c:showPercent val="0"/>
          <c:showBubbleSize val="0"/>
        </c:dLbls>
        <c:gapWidth val="50"/>
        <c:axId val="1017731152"/>
        <c:axId val="1017735472"/>
      </c:barChart>
      <c:catAx>
        <c:axId val="1017731152"/>
        <c:scaling>
          <c:orientation val="maxMin"/>
        </c:scaling>
        <c:delete val="0"/>
        <c:axPos val="l"/>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pt-BR"/>
          </a:p>
        </c:txPr>
        <c:crossAx val="1017735472"/>
        <c:crosses val="autoZero"/>
        <c:auto val="1"/>
        <c:lblAlgn val="ctr"/>
        <c:lblOffset val="100"/>
        <c:noMultiLvlLbl val="0"/>
      </c:catAx>
      <c:valAx>
        <c:axId val="1017735472"/>
        <c:scaling>
          <c:orientation val="minMax"/>
        </c:scaling>
        <c:delete val="1"/>
        <c:axPos val="t"/>
        <c:numFmt formatCode="0%" sourceLinked="1"/>
        <c:majorTickMark val="none"/>
        <c:minorTickMark val="none"/>
        <c:tickLblPos val="nextTo"/>
        <c:crossAx val="1017731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Segoe UI" panose="020B0502040204020203" pitchFamily="34" charset="0"/>
          <a:cs typeface="Segoe UI" panose="020B0502040204020203" pitchFamily="34" charset="0"/>
        </a:defRPr>
      </a:pPr>
      <a:endParaRPr lang="pt-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a:t>LTV</a:t>
            </a:r>
          </a:p>
          <a:p>
            <a:pPr>
              <a:defRPr/>
            </a:pPr>
            <a:r>
              <a:rPr lang="en-US" sz="1200" baseline="0"/>
              <a:t>Médio =  51%</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title>
    <c:autoTitleDeleted val="0"/>
    <c:plotArea>
      <c:layout/>
      <c:barChart>
        <c:barDir val="bar"/>
        <c:grouping val="clustered"/>
        <c:varyColors val="0"/>
        <c:ser>
          <c:idx val="0"/>
          <c:order val="0"/>
          <c:tx>
            <c:strRef>
              <c:f>Portfólio!$Q$134</c:f>
              <c:strCache>
                <c:ptCount val="1"/>
                <c:pt idx="0">
                  <c:v>LTV</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Portfólio!$P$135:$P$138</c:f>
              <c:strCache>
                <c:ptCount val="4"/>
                <c:pt idx="0">
                  <c:v>0% - 25%</c:v>
                </c:pt>
                <c:pt idx="1">
                  <c:v>26% - 50%</c:v>
                </c:pt>
                <c:pt idx="2">
                  <c:v>51% - 75%</c:v>
                </c:pt>
                <c:pt idx="3">
                  <c:v>76% - 100%</c:v>
                </c:pt>
              </c:strCache>
            </c:strRef>
          </c:cat>
          <c:val>
            <c:numRef>
              <c:f>Portfólio!$Q$135:$Q$138</c:f>
              <c:numCache>
                <c:formatCode>0.0%</c:formatCode>
                <c:ptCount val="4"/>
                <c:pt idx="0">
                  <c:v>0.14051088571447221</c:v>
                </c:pt>
                <c:pt idx="1">
                  <c:v>0.37702782376098443</c:v>
                </c:pt>
                <c:pt idx="2">
                  <c:v>0.34459140749183581</c:v>
                </c:pt>
                <c:pt idx="3">
                  <c:v>4.384144859493519E-2</c:v>
                </c:pt>
              </c:numCache>
            </c:numRef>
          </c:val>
          <c:extLst>
            <c:ext xmlns:c16="http://schemas.microsoft.com/office/drawing/2014/chart" uri="{C3380CC4-5D6E-409C-BE32-E72D297353CC}">
              <c16:uniqueId val="{00000000-B805-4BAE-8E9D-E393AD35AB0E}"/>
            </c:ext>
          </c:extLst>
        </c:ser>
        <c:dLbls>
          <c:showLegendKey val="0"/>
          <c:showVal val="0"/>
          <c:showCatName val="0"/>
          <c:showSerName val="0"/>
          <c:showPercent val="0"/>
          <c:showBubbleSize val="0"/>
        </c:dLbls>
        <c:gapWidth val="50"/>
        <c:axId val="1064452560"/>
        <c:axId val="1064450160"/>
      </c:barChart>
      <c:catAx>
        <c:axId val="10644525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pt-BR"/>
          </a:p>
        </c:txPr>
        <c:crossAx val="1064450160"/>
        <c:crosses val="autoZero"/>
        <c:auto val="1"/>
        <c:lblAlgn val="ctr"/>
        <c:lblOffset val="100"/>
        <c:noMultiLvlLbl val="0"/>
      </c:catAx>
      <c:valAx>
        <c:axId val="1064450160"/>
        <c:scaling>
          <c:orientation val="minMax"/>
        </c:scaling>
        <c:delete val="1"/>
        <c:axPos val="t"/>
        <c:numFmt formatCode="0.0%" sourceLinked="1"/>
        <c:majorTickMark val="none"/>
        <c:minorTickMark val="none"/>
        <c:tickLblPos val="nextTo"/>
        <c:crossAx val="1064452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pt-B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11">
          <cx:pt idx="0">29821</cx:pt>
          <cx:pt idx="1"/>
          <cx:pt idx="2">37692</cx:pt>
          <cx:pt idx="3">12285</cx:pt>
          <cx:pt idx="4">29612</cx:pt>
          <cx:pt idx="5">9132</cx:pt>
          <cx:pt idx="6">20600</cx:pt>
          <cx:pt idx="7">27818</cx:pt>
          <cx:pt idx="8">27825</cx:pt>
          <cx:pt idx="9">25190</cx:pt>
          <cx:pt idx="10">25687</cx:pt>
        </cx:lvl>
      </cx:strDim>
      <cx:strDim type="cat">
        <cx:f>_xlchart.v6.1</cx:f>
        <cx:nf>_xlchart.v6.0</cx:nf>
      </cx:strDim>
      <cx:numDim type="colorVal">
        <cx:f>_xlchart.v6.2</cx:f>
        <cx:nf>_xlchart.v6.3</cx:nf>
      </cx:numDim>
    </cx:data>
  </cx:chartData>
  <cx:chart>
    <cx:title pos="t" align="ctr" overlay="0">
      <cx:tx>
        <cx:txData>
          <cx:v>Localização</cx:v>
        </cx:txData>
      </cx:tx>
      <cx:txPr>
        <a:bodyPr spcFirstLastPara="1" vertOverflow="ellipsis" horzOverflow="overflow" wrap="square" lIns="0" tIns="0" rIns="0" bIns="0" anchor="ctr" anchorCtr="1"/>
        <a:lstStyle/>
        <a:p>
          <a:pPr algn="ctr" rtl="0">
            <a:defRPr>
              <a:latin typeface="Segoe UI" panose="020B0502040204020203" pitchFamily="34" charset="0"/>
              <a:ea typeface="Segoe UI" panose="020B0502040204020203" pitchFamily="34" charset="0"/>
              <a:cs typeface="Segoe UI" panose="020B0502040204020203" pitchFamily="34" charset="0"/>
            </a:defRPr>
          </a:pPr>
          <a:r>
            <a:rPr lang="en-US" sz="1400" b="0" i="0" u="none" strike="noStrike" baseline="0">
              <a:solidFill>
                <a:sysClr val="windowText" lastClr="000000">
                  <a:lumMod val="65000"/>
                  <a:lumOff val="35000"/>
                </a:sysClr>
              </a:solidFill>
              <a:latin typeface="Segoe UI" panose="020B0502040204020203" pitchFamily="34" charset="0"/>
              <a:cs typeface="Segoe UI" panose="020B0502040204020203" pitchFamily="34" charset="0"/>
            </a:rPr>
            <a:t>Localização</a:t>
          </a:r>
        </a:p>
      </cx:txPr>
    </cx:title>
    <cx:plotArea>
      <cx:plotAreaRegion>
        <cx:series layoutId="regionMap" uniqueId="{7AF53D91-B5D9-4B0C-803C-6F06056AE173}" formatIdx="0">
          <cx:tx>
            <cx:txData>
              <cx:f/>
              <cx:v>% CRI </cx:v>
            </cx:txData>
          </cx:tx>
          <cx:dataLabels>
            <cx:txPr>
              <a:bodyPr spcFirstLastPara="1" vertOverflow="ellipsis" horzOverflow="overflow" wrap="square" lIns="0" tIns="0" rIns="0" bIns="0" anchor="ctr" anchorCtr="1"/>
              <a:lstStyle/>
              <a:p>
                <a:pPr algn="ctr" rtl="0">
                  <a:defRPr sz="1100">
                    <a:solidFill>
                      <a:schemeClr val="bg2">
                        <a:lumMod val="25000"/>
                      </a:schemeClr>
                    </a:solidFill>
                    <a:latin typeface="Segoe UI" panose="020B0502040204020203" pitchFamily="34" charset="0"/>
                    <a:ea typeface="Segoe UI" panose="020B0502040204020203" pitchFamily="34" charset="0"/>
                    <a:cs typeface="Segoe UI" panose="020B0502040204020203" pitchFamily="34" charset="0"/>
                  </a:defRPr>
                </a:pPr>
                <a:endParaRPr lang="en-US" sz="1100" b="0" i="0" u="none" strike="noStrike" baseline="0">
                  <a:solidFill>
                    <a:schemeClr val="bg2">
                      <a:lumMod val="25000"/>
                    </a:schemeClr>
                  </a:solidFill>
                  <a:latin typeface="Segoe UI" panose="020B0502040204020203" pitchFamily="34" charset="0"/>
                  <a:cs typeface="Segoe UI" panose="020B0502040204020203" pitchFamily="34"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solidFill>
                        <a:schemeClr val="bg2"/>
                      </a:solidFill>
                    </a:defRPr>
                  </a:pPr>
                  <a:r>
                    <a:rPr lang="en-US" sz="1100" b="0" i="0" u="none" strike="noStrike" baseline="0">
                      <a:solidFill>
                        <a:schemeClr val="bg2"/>
                      </a:solidFill>
                      <a:latin typeface="Aptos Narrow" panose="02110004020202020204"/>
                    </a:rPr>
                    <a:t>24%</a:t>
                  </a:r>
                </a:p>
              </cx:txPr>
              <cx:visibility seriesName="0" categoryName="0" value="1"/>
              <cx:separator>, </cx:separator>
            </cx:dataLabel>
            <cx:dataLabel idx="2">
              <cx:txPr>
                <a:bodyPr spcFirstLastPara="1" vertOverflow="ellipsis" horzOverflow="overflow" wrap="square" lIns="0" tIns="0" rIns="0" bIns="0" anchor="ctr" anchorCtr="1"/>
                <a:lstStyle/>
                <a:p>
                  <a:pPr algn="ctr" rtl="0">
                    <a:defRPr>
                      <a:solidFill>
                        <a:schemeClr val="bg1"/>
                      </a:solidFill>
                    </a:defRPr>
                  </a:pPr>
                  <a:r>
                    <a:rPr lang="en-US" sz="1100" b="0" i="0" u="none" strike="noStrike" baseline="0">
                      <a:solidFill>
                        <a:schemeClr val="bg1"/>
                      </a:solidFill>
                      <a:latin typeface="Segoe UI" panose="020B0502040204020203" pitchFamily="34" charset="0"/>
                      <a:cs typeface="Segoe UI" panose="020B0502040204020203" pitchFamily="34" charset="0"/>
                    </a:rPr>
                    <a:t>21%</a:t>
                  </a:r>
                </a:p>
              </cx:txPr>
              <cx:visibility seriesName="0" categoryName="0" value="1"/>
              <cx:separator>, </cx:separator>
            </cx:dataLabel>
          </cx:dataLabels>
          <cx:dataId val="0"/>
          <cx:layoutPr>
            <cx:regionLabelLayout val="bestFitOnly"/>
            <cx:geography viewedRegionType="countryRegion" cultureLanguage="en-US" cultureRegion="BR" attribution="Powered by Bing">
              <cx:geoCache provider="{E9337A44-BEBE-4D9F-B70C-5C5E7DAFC167}">
                <cx:binary>5FtZV9xIlv4rPvU8ckUo9j7d8xDaM0nSLDaYFx2MsXaF9u3Xz02XuxqwG7r6dWxjUmi5utt3V/7+
sPztoXy8794tVVn3f3tY/vFbOgzN337/vX9IH6v7/n2VPXSmN9+G9w+m+t18+5Y9PP7+tbufszr5
3UaY/v6Q3nfD4/Lb//4dnpY8Gvd+uPfqIRvWi/GxWy8f+7Ec+lfP/puT7x6/P+Z6bR7/8dv91yqr
3awfuuxh+O3HqejrP36zEVPit3e/P33Ij9Pn9xXcebgfzLsAuOjNu6/m3dVY/uL2x/t++MdvFkPv
lU0QQoQwruA/9du7+fGPU/I95opLhYWknIsT0dp0Qwq3YQHnOKGKYowwEtT+7V1vxu/nbPoeccmE
FDZCyhaC/CmqD6ZcE1P/KZwfx+/qsfpgsnro//Ebh8vfNX9cd+KWUyaZ4vByktpYSltJOP9wfwn6
gMvx/8TEzpKY4MntypzNuh4R+diLXIw+zhfUaVZ24+M0t+ttPiLkIFnbg1Zji6PGnhfHiBpfUbIu
rp10a1jP+d5aaXODRTk+JJ0sPhTlOJwPox073ZJMUb/IOdWtSaeLlJLS1nla13pTWequApWJk8UT
vlspny5VM81XS17VN4uqU78Z8mUni2LVVR8zXafr9EG0GUUByUz5kdpFP2ucr70/j33HfSSSAjtq
7MWNXQ9d7tRiG87GMSs+Y8IV1lOVb2GWtuarJAjeu23E58wahGtL+9IohVJNt3q5lljQj/2UqXO6
LfXOcIs4khE26HnG1p62QhU669PMuHGfcGde1uVLkYwyoApZe16s9NhWRX4wZUU+I5vkY5RsuDOa
Dq3Fb/t2XLSZFHFQHjfOXC8yc2lbk8/UQvGRTsVyXfWT/XG0uNKFGazKQfGSEnfOZ5CYnLfk61j2
CdEZXcwZHVKyeagc04s5L+1JF4psiy6svvESUy3XyJqTr6Y4MQimMlYBGEZ7NQ+yDGa6LF/mbB1T
P++yNtOpott+nmU5usnAcBIBd3GnpUA208VY1a5JQR49gk8Ztourigwq92SGk68xsWjprNOar17f
JEPmFGvcDA6y6LybG0xcM6Xkc5Kt8VHOyWocyqX40MeVdNWU5JbuRNm7FI1qn4EiE22jMtPrWjc3
K8NgO/Y6N3pb4vnDoBI0eWU+ZbuVsiZxmC16t6ixuYjHhD/M0yq8oqatk1gLdoa+esis8jibZF1d
KQ0Ok6HNG51QVEUYU3WUJUk/jbYYArPI5OMqssKdhqTYnHXrsHCYFTejToYxjuImJucdZuaMZ424
SPMujWp7ebRonOu4nPObRY65xzPZOIhU6nPTUv4xnjGdNatI+7Ev0s1rY6u8yWZK0kiSFTQUtzP3
ForrM2631p1aVmWFqOR25/RDXbszqrfKMwmVB1ODoaKCrVj3Kc3v53Qs5dGwGbQ5bVPpUjKOt6Qe
p2OalUMNfJb55oyC0tQrcLY5tmB8dZKWxsekK7jQJW+a0ssrIpMdYk3R6qGnee6LQuZi19NJBpJn
+eKiEffLHjUVqnSCBimimbPNa+qt87m0LD0vagmwSoflEPOhXq7mfIhHDSaROspK5w9tNQ3wijmz
F2ep6nG3Zcb28prluZ5onnhbaefgyg2n9922lMbtctPXndNiulw0FaFfE0M7XQ/lplwGoPqxgdcM
8moug21jGluFdCw+9HAJy5iXp1V6JZYSCz0LkVXwvETa12ic1ovSGhuP8fgbmwVPb0xWjem+SSdL
OGB9cfJBSVlhr50ouTNDfXKGJVbclx1IBKIG+GVfNCy5nGsJPi5F1s/ebBvy2cwSkKKoRba4iQ1u
6s92nnE3XmTR62zK+sJBU5F8lQurZcg6nkt/Y1Nuu0VRWIWfwU0mWlDalyFf62o48sxcoGGTjmjT
W6tUO0Pa9bLYxOTnTX9XJ3F733Zc7RIzraVDFh6OJauRnlgbF5e2asVVl+aKeAXq4WVlTS87W/mC
r4WmTfatVabTyFqLB1uiXm8QUYIkrm12SBvSxF5XoSZ1CtGuW2jyXnpzJwQ+K6w0J14PYJEF1dAX
8eSWUm2zTsdx406NTJm4cc5pojueqdRVa7eaMF6Ytss2EYeMN4PtDs22CK83q5BOv6o7W2Y2D4YF
TfUDnEerGxeUfkJkAtNliwjnrvTxprSSopEuB9CeNW8LkzhpyoouSsq1LTwDIHXGErAYLtMJhc0q
WksnE24a30obX7VW3DsZs9AWqcmMd/PWNiosUJkKXbStWM7LcfMRGcN02qgearU404wf10Q6nC9+
PfJ5CXpGGxaMnA4i2PL7zmyfrF4tObyXRdYotml5FGVt1btkkW3QFo39Ec+4qJwa3oAH7TKoRk9z
31eR3VixgweW6Low/GzmQ2Y0mezy47o2qHHXYTb+mszgUaQ/qm0pCmdtU+nINu/GfWy1SRKgse6d
rczrStcxaUctbKbwscwziMlpR5F9lCovUJBlfbsrK7pgf5wrUnglH9Sej9T+kNC13I9s2hqvzbqK
eGspeOHgZihGTUVSOV2arpemtbbHzlRWYNIi/Whl3Gy7aRx7HshMlGccze1ji4BiO44z/9IXY0qi
OFUzOpgJAndJGpF+aGUvs3MjzLI5Wdo1yKlNlRk/q7rpsh3KhUQJh6xKZ3lbZw41PXh81YBc3Lpq
8HVRZmOsl2JDqy6TCfB3LlPkb0WTXPYsl9vFbLXDoAs2NaMj0zYOkypXX7p6icF5u6bLkds1bdKF
SRa3/VnTsEYTy1o9imLiCDUseptbCIay3OYtLOqG95aXVKCGB0R4Pe1lPgB4NrVIqNtLa8r0CHxU
dpf0mhbr1LtmETTuP0FwEX3vGY6Xc5zhrPVaDMjrJlYFqVkzi8XWYIlZAyLu4+HjSFRvuzyfgnTt
28olHeO1HtN8SN2ZdNn8Iam6rNADX5v91A1TBWF1lcKjvG1iZ7MwnfQyVco3ZpSduyZjATFzabjl
59nQqbNmq9fUHatUdW5tl4vPTFbqsVD5qslgCghMMcu1KaahOTM5zy7UBIx5S8+yDVIVMlkOaovk
czvlrdHtRFDqLvDUzgGya+HiNil1bg1tex6PdjEEau2ROVum1M4/kri12p0a5iy0CghyYhtxrJO6
GUt3kGmZR6qMIW0yC8qvEZ/YQzvgZXQKCimFV09VKnXSZop62CaNx2uMdbdOcTTjZL2pMGUYktIV
8hKbk2nUM0lrEcykklhjZMDBUpVbtRbjQIVGdd0cUb2W1xO3kzxgpqhNqCBm9U4iTckjyCwyN89n
l8oCB2lTxnxXTNOAtOhZwb2pjpfOjRO2lWBZZYM8ki5zpkEpnmmnvtJy2Pa2jAFD+hCNcifMiMJu
AbTD3KzJGQDUepcnkA8HXYrWXZ9RiB9g0WPAZPsgWR41W+EsOQQVw1cwfObHhAdoqK5swBlrSv0x
ZxfJYH9K0+xrN6dhhyy3EvYZWuUuz5pMd72oNa7LQOTTnTFV1FazOy7lPTf9jaz5zUr7K8JIrK3N
YIewzbVKVOo+r1aHUepYsdH2RHQ9mTvIuy7ZlJ112PLl+AD12F26iocer7tuUCxinQQAthZizsoG
d220pOBgGWSAuWza9MMwdwrt57ZXzTVDyc6wpnaQ6S8XMdrMHabytqgysIpktFw2g3UWbTbqTaiJ
uxteM9Y785AyfpFucZY628gTh8zYln5GtrW+7uK4umgtMDC3Bhmnkd1tcE81DzNxLCgA8o8WU1+q
PFmvcpEO36YxVmLHmtxOnLm32Anw2hu+qvmhoT1rnXTZ8llDPtRlega+03CeijIF8zIFChXe6s2Z
tw7q02Egyw1VWyG8dDK0cEu8bGcD8Jz5hSwWe7eq1crDVjV0dhfcpYOO5y2dAmHVHsf5rt9YW+iK
biQ9q4pqHNxyghzaXyF+DO5cZsm9bdJYgpYI1Fltm1TJwUoxapyWr+nqdZMahU9jhL7mBSHgIDHG
6cchL4torJvOOsMVtjPdLrUogu+F8+9/VO4/ys8/ytEH06xdlqQ/Svc/D//38M+OwN9Pt/3r56fy
/19Hx+axvhq6x8fhcN+8vPLZjUDuB/1T5+DZwU9thKc1/n968j/rIihMoGb/900E//HrY3dfvvtV
B+KPe390EKh4T5AkUkD2TaiASv3PDgKV723JGIJGgI2ppARK9z87COw9g9iJFaHsR5fgzw4C5u8R
Q4wppQQ7lf/0r3QQqE1fdBCQgGTKJpiDa2PbVuh5B4Gu3Sb7Cux+6XCX6ALz2X5YJjtP9/MEnYOv
TV0pcY4rEbR5exZLFmzG9jHp91VijxB6Va7F2rhl+bkTs48oilAi91ULeZQxl1s+nHV15s3ZcLMV
7UO3GFtb0nLKonnsZb6r4tSdrOpiblTr8KR2GO5cy+b+QDqA2372G8J8pObPNufBGqefsq0N5klC
bwK8LZkKZySba0b1YWzYRbpUXpcqf5qrALIkpBU4AV+6ILEzvyp5rnmGHlkRXyUWCWu52qeuSTDY
6vPc4mDN8c6GHhQZ6VWLxfnAcq9NadCLLIRoH9pxeRjLJcJ27+d1vBNtqXTPRVCT5nNKITXLWLwD
yQDUQUb3ODeHgV/bABEYKpBm/FQOwhkts2mydUHd5noYWiishSNVFVY5/EzR8y7pFs1J4bN1/Fij
dB93s3FHAyla7fbWrPNxcmh6B40PzenO5AUErVZbVu8XGfJaCyqRbPRra9DJ/G1dP2756KrBcqye
RVAkul1va6PWnYCKGg9pRCXSnAnXbPeySnWMiR4nE9EWgk1+29erS5otAkCGVkGuKd7V5ahRctmg
2enmmyRb/IyZoAN1ivOkXnWfCCeHBpRcY2eZDkKVDocqpUNuBbyOIvGgyvbQRILG7sJTolG3n7t5
1y2zV/XHcf2aMNtB8+WYfkqHq7X4ZvWDb0TnC3KX9tAPyXdWeWmnTjuocLP6oODxjg/SXywo1RUS
2qzKSdvlyhaVJ1H+uUWTRgiHFRdnS9weJkjoaB4vjmCp38fyWPEsnDoWCcFvirT5kGzscs3mMJtn
B2e5mynQ4BB/ghTAhSL8vI/TQ5wMASYsWNDSu1PDfNzLCDwqKrPJz1IeybIL+rU753QKRlX6TREH
mQ2Vj8kr3VcDKA4d7TE9ZEsKXBVgpEjuZ5V6IICPjT3sCoMLZ+My1wlZnHVuHcjlvHUlXzOZ+ylL
bD1tnYfVcgaRBKINClRRtbqNW0j2FAnKJT6WhOzsuA8oj52eyU6vkFgPlR1CP++2zexDQlUYY2gZ
laYJ07JKAxt6m1qVqYsS8qnOxttkHm/IIKGuKy2jAQkuu7SCHK1RXiLb/YqagOUxeGF2s7a2iBY1
RniEtC7twcx77q28urfbOfeGrjBO3iOiS2mMy0p2JYf1wTDLkWV2BeAD1bo1f9qqtmygLMlNoWs6
jsxpExqLGzVP7ebNrJC4gRLJHu6sjMopqLY5lP06Br1qH9Q09J5VzA3U9qqM6saenCrjDw3kpdCK
mvLzqpVf6624Xma7dCoo4PTYQ4ZLxzwyVgtBvKS1tq28+mJ3U+bH8zBd5s12XRlgaCza/bJ2vYaM
Q7dz+gkQyO8S25trEia8cJm6JezCfCq60i0LoQdZuznfHGFnk8YrQAA0j3wzGN8qBgDT3uuBwY6W
H+x58vuKT26t8DdIzvOoLEg0ZdCVEXHvkgLaYBRKnWWK4tk6zDbzMiupIadHjqktj27qqrMw9HLn
Xo853TNIhjo8lzrOFtvFaf9Z2OZQ8PmQDSzMeytYzeKaevumSNM4Vj7Zumu5S5jwh3r7WkNzoWEq
UpDyjVP9gWcJ11lZX80oC/lMIll115aMA17HN+Wg/DmpFp3gQhsU4jJ3Bl6c92I8JFPXOZUFlZCE
fkE60mASTbitm9QKy4d8Hc5wUu0XW34pM3yRZMUhKaeLJVcRNZXR9faZ4aH0VEm4x5P0aBlSatMQ
5VUF1HJs6lLsqQKpQ92xjUBf3LoSojqwraHu/7P858GM0DmHoUySmfrpGOT17Ed391v2bGxyuv5H
xmPL9xISHSq5jThilP9rZiLIewWteJvCiAbDyOR06kfGw97bXDHIRKQgCkH/HsYp/xyZEPJeMAyj
FCQAtqkNo5Z/Zn7PclSYNv04fjoyYc/SHcYhp1LwCpwwZNuM2vDmTwcmBNwEMv9u1S0bSuJsMAHr
gnGsqdkB3OeD/yQv/I/IQWIHcyLgGXIsoPucXNzkiyg7smhUdG18t5QFhuqxjjOLXkGKz9tUv07w
eTp34g9SRiokiJgBVfvE/5OBEMrqolvLdtGtherLQRB+3WY8/yP1f5b5P5UiZqCQ5l+DJyZs0K8g
jAJTiDPbfpE2VoMkeZXiC/8YXR9951sYZdoPfDd0w4MfHV336nDw4dDzHPhP78KDczp0j/61ex1d
HtxboyMd6Nv9Fx8e4Ef6GOjg+sOk4QZP+5dR4DlX3s5xvEZ75/e53l2Fzs51be1euP7hTumP3rkL
RFwdut6Fo/Xu4Lqu87o42fMB28984ufyLAzUttDMuXAP4UHf+q4/aXjvz4GvL7Wv9eltQ8d19467
9+ElvL37B8r8W1GzFxb7k6RfWOwGxlozkPTevzsmno4CHflHkJfvH/xL+ANShE/a87xEO7tw9y2E
Lpn+5oZh+G3WF1f71yWCTyb7muZPEntiYRRNU5zD+7i37rUfgAC88A2W3yRxMvInJIa+K+3hZFzu
xe2XY6KP2vt87iD9Bh2CAXFe5eWFt2xindf5ROjWj/wDGNgh8q/hg3t0nX0UHUC5dzo6RPDlgu7B
Jr1Ww0cfzDk8uKF/p333Fuzev3Oj4xHsAfRyvEy0vgEt+WDu2o+8ndb+rb50dvo7M1EQHaPLxyjR
j5enh365Pt5l+nrTXxIdAbfR5eXxEg4fH0HbvnZC5/xq51zB94vwyrsKvznhVRhe6evLKFq0TnRw
7oU3Z+fnN+e70PsY7cKvVxeOFzgXjntwPO/K1fdnnhOGF3v3aheG2tvtzpwrdxeCVbtgsN8tGDj/
BpZ8cB2gGDrAXnT0D3sn9M6d0P1+4acr+DE4Idy7v7i9BR93vr5hXCd3es24XuIlhineBgo5uHfX
EZiWc/U6AfKW9Z5w7YlpySQ2lshP/uzv4Qv8KDi40QmJPO24O9dx4J/zhqFBAHuDrxdz+t6GxG0C
GDmAG+8BN07Oe/oL3493/gEM5QA2dnfw7w7HVgO+He7uwBL1WRDpy+gyiIIg8ILgTIOqQQF7wFXv
89kZ2ITWZ9o5D8Md2CooMnSdiz2oUIfe7sLZ74EbUPnrQsTqLb85nX8ixWISYjIgRRAhmM/hCHgE
qH8SogPY3WoAdP0FIEkDIwDRkYYLAa38S5AyeNoJOOHTJdwQ6XMNp+DT6d4oCs7he3gFPLo75wK8
zAWwO/jOiT/XOYcgEkFIgUt2O4gNJ9T1Tz579E+MpjoEScI9IEffBUntT2bvhreH40k4RxfueV0U
5BTnXjHY7+efSKJv+yYVJwQBld6C5wKvzhkELfCUPTiX47wBvy/6NT8FJPIiIEGHoKcIRH/wj3cn
sALkd+5P4rl6w2gpom/w9iLycI6xhYG3PSDBERRxstv9KaqDfZ4UA1gByACAAVAIyLEH3gGvQJ1w
CJEazoUAMgfX28FHuNqPIDEI4SzYO3wGaHPAFlwIIvBIePzpEt/A/dE1pBXglACm3w3lRDHynTu4
BF5Bn2zsdDkcePqEjyHQhWvhiR+CIzweMA0eBdgcRd7JCg+HWxf8K7rWgClwDzjPSUNgUfBycD88
7/Qw5+xksMAJvBFgK4Ra8LVP3u50qbeLQNDn39EBuA4DA8yD82nfC0HfJ/s/2Ta8WwB3Xjr38FRA
UWd3fgVYfRITCOp0NzhCBSEEkM2BH79ujc8VxomUVEkbC85tLmCF44XCpm2DNQoYEmppWxPMFJvJ
EYQO3utUnmPZDyoE0j+KpbIhk3/u/Cbum1iSqtdxnSsvHi2mYd5W3iXL1rpZoazz1+n9zBWDNSqE
JCyYSSpfWnyJN8HUAi2LsVPUz+S8+Gk54b+UOJ+4YgjKWSEkhtqF0tNbPHFkPMos7xCsA+Q0tW9Q
1lbR0CzbGxr6WXZARTEmoCqA9Bydzj+h0rUlSgehOhjtUOhxpGqBnl7RMTae2nGm1xg6Cdevy+95
AvmdM5gzMhjwy1MhRV8ghqpJ21TT2mnT1vYOWS1zpx72mWBCxd9g7xekoPSDvTfFCAyfxYuqwIYl
ElONBZAqJ2im8MUE/SjZabZU7l7n6heS5LBiR20BS3ACzP25JFnDa2nVVadh7yKPxiznIYf67Ywa
oo5zZ8QbQe+k/38B/XcpPqP3IoKvg9kMn4BeV+OtCSscN5aXT9Ay/Ot8MQGbhTA3QGCTLyxEwbqH
7PO11clqF+44dfZ5yqFpx6hcXb5I+kYE+xVfTBLBYRkR1t7sF6F8KpOVjcZutTJjBT2r3PYGGhdv
YMavDOMJlZdhElbCtjUzDKiUbTo5MUPZ6ha2td6RZGrfEOGviHFEiQBHxifDf24a2GKssBbU6rVD
MGq2S37e55utVZV0b/jW8zL4D6t4Suql9DbRdD0G6bHNHNNUJIEs1vbTKnFxtpQ1vuvkePu6gfxK
YU9IvhTlRDNrmQvcapyiyqFdzHxYlE3c/4IKhoU9mAsR6OOcZPwEqGBem3ablXa6gdW9D4VpcseS
NTn+F1RsqsCPYfOIixfGHrOYtqkSrTZ9lWmyGO5nk+HB61R+BRVcEgoNKayEwi9QqVMig2VIDvOR
ThEOg5ay2JW8ir9VTZ9eK4Cq4b+xQAltH0idCbflC3DKrbTsMk5g5w56ZUE5jZ9h+vbFhqb4G371
K2MQCMEcUJ4QQ74wdZVVUI5PALgYluf4hZwaQfx8WYb+8LoMf00IVohO0VFi8oIjzlCazAwcOI1h
jjVXvXRpiYc3gjB+Xv+d/AmSSgVBXsFSNQOGnptdasnstODW6ZZ0RPc1mR22pbnXNE0S1LMhuuEs
iOOiCGCDd7ZgJ6WGdQFE0zdgEZOf8J5DGQdpjk1gTAsLBc/fZOkTmeIFtufSLC12CBZx/bZtyLWZ
ukPCrWXX9Y3xYI6BNSFj5SxrkTogmgEPKhpXq30jC/oZaU775CcrhtYeNIVO7/vEIWtjx0UvhlYX
ieKXRq4t9L9hsjDZ1IYdzjL/MmTd5v9VrQNRW0JMl4rYFL3wnNUmSzViCEaw4CGdDuaMzkbG+g1Z
/5K1J1ReJCjr1KgtaQGvoRUzuWNS2s4M27RBBeuFq/ps8rn9y+gGfIFuIZ3kAhLLF7ANfVNKYd2n
1ZU1Gs0EbIFYankrtJ5M5HnKAFSosjmFNqsN7djnKptXIG9NQKVBciZ6TlTFtT3MCax+o8RudNWl
2d3cxPlFPw4wMHldeb8SKxgvh9SZAfK9BCE+JkvbGtrqsqq7fT4bEzXpuB3y0er2kJVRBxU5fgOQ
3iL6wm1q2O/dVgUBEXJtPrtTK629HSNYc5dVf7CnVQ0wZF7i7A1mf8Z4BQHf5ohAFs/ly3700kgY
FXY1uEeG2e1gjcvo2WrKg7lWqNEpjMJvXhfvz1mGOo0lCIE6CEFC/yJCjiSZa9YnrZ7ivnZ523Yu
qfJJWzUssr5O6mfwhXwacpnT1AJBFnoS+hPfL+i2FTOnjV7nsfRQsY3+MrC/nlErRrHAMCAB+ZGX
v0tSr70xFHYftCWaOSAFrWDILi5gAZDpskNvQMsvnAO2YgQ6KY3CuOIFT3SoszJNt0aXE+p3qbSq
wNQV2pmKSRhz8gmmsrDWpSto0M5vGMsvjFSh0ygJbBCWcsQLwBHFIrdigPC8WYO6KltmHzGyR6ex
WRuZjm+5btKYveEavzAYBb/1A0mVLUCTp4Wfp1qEeoEPBM+QK2JYn4eRZakbnMPuK4Lth9cN5lcM
fq9jMeMcUp4XwpVNv/Y0aSDjSc0Ei7/tGMHONNtlgFbhEAvYuC3bfnxDrL9QKbQfoCcAAfzUiXhB
Ffbo7A1+oQx8f4QVS11mmXTnzPQ7Zsh4vlCT61qq3mlhV/4N0j95yPehHiWwSmVjWGZ6AbUsnuum
bcHRE9g7hOF+TXzok0x/NQk6UQHOvtssIfT/ODuvHblxrmtfEQEFKp1KqqpOtts5nBCOyjlSV/89
Gvz44a4udMHvwQzmYOxdpMjNHdZa++wLLonlDquL4ybvG0fASuCWYkX/X//rUcEQ0U+wx3TEQ9bZ
Aa22wezXkcuR1aR+pjkV74LBHGKAEcXbl4/KpZ3DuRCH+h4UMvfMjRUSDKrTji00o3ptw24S27dZ
WKV35Ug+O/37kuS+aT7VAaK8p6c/2/LWX4yp5fQXOh5aLe/hOIFOXafhimu5ZMrjnoHPNulBn6e0
46IAnlUVpjow2pQ+RNxu+mvaGPrm3zePyIirZjoGyL/9VfrLMXeVnwKoaNsQ8H126AWxaLqk3ZXT
cOET7a8MLzKbZ7je2eEGSpUGXZbhKh2IYIY77Ay8yr/ygS5ZIQujpucbnm+dB7zcVtNPSrC/SwFw
in69+DFPQZ38+02FGslaeGz2brz1dMvqRndq01C1Anf+5Hu1fagt1f77CXhixH5qxLOqLhUJeB7Z
Teo4FuMQFfacR0Aur9Tj9y/8JMYLiDdIK8kR8O1QC59aMse1qxoTOBQIb+Ohy9cOCt3S3AaJI7ew
Wdb19PKRM/e/8ZnFHalpA9h0yMieWty6Mi+XDosyCVhbZwLJr+siUgG0iTB1VHpTr3NyADsdnGqj
s/4ILe4Gp26Pqb0U717+OZdODR/SdWzTI43/79f+dQOSuqwmX3FqQGwDJG8B31En+P3vRkDQWtKj
hhSw3U+X7HbLlg2t04Rr1lsZELgcdPRgBK175Q5c+ppeQCeEOpjL23n2gilZ1IatOTd1Xq9Rntpu
aCziaDrzTT0KfcXapb3z6aLwUkrXewa9ndbBXau5aUNvdNR9MevutsWDxv++ef7+bYizLNDEu7f8
6wt5pddDR8Qb5kPVPzRTWh1Wx86ulGMvrIVtI53CG/Khzr0HXApRwALeQ1QvfV0ugQQy6aT/Wi8C
AGRQHTB4scAD+Wd5m7/NYhT72S8yu3pVacBsrar9K/72eRViNwMomsgQzBGvyNMtq9ytcYzKa4DZ
quxBaN8+ml151yxOELrG/NpfnHct5F6QwZ66p9595wZte+Vt2c/a2T3nfps2bQLK9v5/jcC/vtvW
wZsdE+CPmztb5mFc06F+lKtjzA/OtADoW5egzG5hAFjXEtcL14BEADCWZbsU1/2z9YsmdYypCppQ
V7ldRKnh6nhpswdbJjKaBsW///mM8vDAtfdtm/KGffZdoemu1WbgRSS0lnAZbGC+Fei9l63sJ/3p
joLE9fDRnCByxPNlmSUZMfTGJnTTLIlK32tudb15t1KBtn3Z1PMdxBStKhverUcR8CxSNHnGjd5h
B5vCyUSsm7LzQwNkw8dgsJ1f6VIt6srq9j06Xx03j1BO4r6eIdvSonPWpLMBataViGXQOZ+6adl+
dJNXxqZZWz8oiKxQYe3mpuqt4dvLK35+XCkKkiW5lN0D0zlfcVV3RjIvVFOMsk/i0vV+lb33zakp
eXQBsPhJXoson7uc3SKnheSb8q5zdkqHJcszy4SXVguLfBUi4g1Xpb7yJfcvdbatkoifF47zydtz
FkpY+QgKDpBu2Oei3yK/zrIv3aYrMPStko9dMW9ZWPgppGyvLIdrb8SFM0sPiFCW+I920Dk9o99g
QteALUJRqu7oJIUeo0CZ6Ydm6O38yjW84PhA+u0FBteUXBHvbLG2BY9qGQ0uvjs8UtsqPpgqgDcv
+9KM5ZA67wu7Ih2Hsg8a31JKeaEYhu4j7NO6DV8+URd2nn6sSZGM0Jri49kdssph7Lduwdl3Kdd1
nsYfi0ssXxtrEJZaFa8G/xMMxPSfnzI2gTb6XjTj+pr7J/nL8RpVUDpdu9cFtSybaERgYzsFs5kN
V7b70rcl6ZIkDjbp3nmWXtV1roCeNmEyTOojOgu2d9BmoO7HTE7elbjxkjHg2ZTvqe/shaSnqxpx
GKkYiybcpGvctWYzvV5qT8Sz2ywfXv5wF5yfi4mAtgRHCJmUp6ZMJR3t1awLIRL1Kx9N/dEfvflU
1GV5k4Pv+vyyvQtLo1AP7Jg2CF3u85SilAKSv27w643nxyIlZe77hI46f+bfPxlSKzRK96XRTz8L
vjO3apNhzJsw0LJPQrlO0CicrbYhBNWUAV9e2AWf6hNTyd3LAYE4r1Pla+2WECOhc1ZVHqlm51GI
ju5fpPzB+jXqfjZOHW/NlaTmkl0qjQbVTQKgZ05nGheztOydRrrUVInWKZOvLU23ESJX+nFpZPPg
z6m4Etxd+IwAFAgBPIIvuvpnQcDszbIaRYKrG6kQqJpbjmxFE3ne4F5xLRdOKJgBgAMm5WKDes7T
E7rZy+RBEIPEMmxbhBiAddLu7N9MvcrjpU7Ew8sf8tLSdnUeKp0IFBGKP7XXLV7SrX5Q0+eU7q0l
NiuuEgdynJ+VV07ohVfRJ4pCtsgDT2+fey/pwoZJtKphZ2Xla9nnW5xLCE4vL+iilb3obaE/RJP4
7IobVVtUroM36fISnruCspQiBXKl3nZx21zifBSTqOOcI3+GlP4b5HeslKhDRCDRS30jc5prsXZ8
ozu9vKhLp4KocM9jCCpoJzz9Soaxuf2U4bfEOL6fx+1t1XToTxBPhR7cxysf6pK1vWUbAJ6Xe5Px
qbW2HnLXbrncve6Suzrr7eNQJN6tsa7tPVoE05XVXfhkeGSEqeC+7TbPPlnhWe2yQgoIl7lF+WZL
DWuOk8ZU16KIC18NE3tRjDowm3m2jWsrzXTMuMfrPHtVXAEgiL2i8bMwy1T//p+/GZtI3YFDGBB3
ngWBajXXekz8OnSD1KkRG4L4VffSUaESFIvpLsj0370jLzYwApgsOMjzMvfW+BVUPaumCpypqBBJ
LC36WZC3YF4piJvrai5XXoJLe4qoGK7Y2jEF3plvTMdctJWAjeYN5Z1FK/iAGBVsXQkD9+UNvWLJ
P4sT3BZYGBCkOmynMZtvK6NAomC1A0sfNqt2r1Ud98NwFl4HHs7K32MTi/Lw01tQjb1fpoNZh+O6
jadNO+Jxc1UQd87QHcS6U1S7TH1+eY0Xjbq7W9l12viUT432VbCYmW/X4bCwiRl4kI+Vdj+mbt0f
DbezjwsqTFdsXkjPSAOJqtHJI6Y8/4KDv0EatPs6JFMywySt74J2LT/DZ84R27Orb05l9DGaNf0t
ymzVFWfzPJbeO0/Ono3uxKvzy2/IxlvtMkNexFvNt5MFQ7dM++S7UN30avOFOgzIo7wS7XDl5Xvu
dTBMOuo4O4iAItfTra5HGWQj9clQWaCHstGE+Gvn1tuXP+hzX0rW6VGHBMO2l8rP3tfZq6css1IK
NmpKvyVILKTxiJJhfcxhOH/TpWP9etni8w3d89y9tQ/7CTzn2blNx0qkRk8EUY1ZtYSzZ04fNDR4
pEFoqYDICpJIJsaOglzsbIr/3foexePwpEex6uwAz6IxMlMShhptm5axJ9oA/ROnSZcoQDXCpG+k
tiVuV6MtbigWm79ftv/cSdi8IRD1aEmQukj76Vd16UYQJuMkrBViKv98L5C4OFmp7x//2RLRBZUh
bsx+hM8skTtYwVbyStbIdtTxqonmCEuH0TmgGIO6zcvmnt9SxBpII4gLUVagevN0YUMuihzwFM8J
Ola/eEDiYoFcbxaKCtxYN6ek0t1XtHzaU65t+ell6/uheeoMsU4pHdgnwb55XkwfJ9ctpgHrwMfy
e7N1jdDJa+ufr+RuBVFAg04PsejZZeGG+KC0FyLERQR3uZavZ38Vt//DUnxrv/VASylBnm0kgD8B
YoyNXLb2EVC60jS6jfkaTuvCzae4DcLOosvts21P7QTEjdVSTyjiGdKJgw6qY2BWyS2gP+Qm/VH8
c0gKRs3g1ecDBTY52VN7Q2Lppts/kRAopJWzX752qHsdqmSVjy9v4aWzSD92bypRsHwGMKnyzCDf
0rz53jLcGnknI4oJVYxqYnnbDr1x19HTf+v0OcoTXtpeuQoXPBxhHPkK9XzQS+d33CmLGdQHwbda
E2GFHRXFR+mXHnXM1es/WJZw5tCRWfdBZonuryx+38ezqxCYUFj3ljEKq/9xU/4qwjRia/lNJX21
rTG+8jEyN6wtLmM0pUk5AEMsindAuJz/weFgGAwDH5km23kLaNy105KZJECb3RAJfuHt7G/pF9Ob
iiux69l1Z1VotzqA+biJBkW3sztiJm2rNltncdCnybGsU+tIXOAeXj5G50W9/2dmV4oxCMoRr3h6
ZJHVrYzMttG2okcxBkiBboNhHfwJAb3WkOM730e5y9XLRzSp9LGj24no5njtOJ+dp2c/4+zmSKRC
RsrWWZz1fRWujgfveuzWE2KTTpwrnUTuAEbXARp3ZQcu7bPLdQVK4fFcniO13M32tFPNWTwFQXYY
7dKPUf1q/u2l+m99f1s52+YewbEM4d0s9hGzunPQZzoYyTQfm2y+1sg4c3r/mQr2orBPQZpcZH+e
/7oc2hwsQODJ3vhtEDIss8L4VKu87N/0ttVwWYFa6GtGL+yix4O3eyQAbwCBnxq1tex6pwmSeFFp
8mpcxYg8hbxW776wtD0doDhDH5EX/+yUtEhiKLlYhG/j4skflF3T+jTaKJzdmGiGbvetHrxrV+TZ
0rjpHD1gCQDeLec/PvJf+9nPoyeFqmXkdGNyY/RKRy4I1Csx+LOl7UVsnkIamC5trvNQeCoz+CON
ZUbI2yVzpO2yeZN3a3AwdUr/wtqSKz70LEoDXsGSCCV2lWj0nc7RKekmS0uJ1op0gVJguWx+TAUx
j0xv+cf8dDflUMimjk0KR0p8djhaaE19YQVmpAi9D6qrN3LG0YkL+CxXtvHCqhwHI7QoACn+p9T1
9+EP8sZQBbq2ERp/qfnYi3Ka3piUSX30dBJvGK80ts6e4f+WxgsIUgUkHcpbZ/c6L9wOVcKFXUTa
8D5VdXsSaqsiS3jJO0QZWzTdpjzKq9V+WGxnufIRL5waB4giqSq4QTKps2jNEkFA4Jla6Bwl/kls
oxVKt6cabAibR7kxrqRSz+8CMnE0fnn99hbQefWmTdZC5UqqyCoLeVOU9YxQaDpe+YjPV/XUyv5Y
/HXjkLQORFfYKqKN7qG/6DZRuZq89mnwdp5t50pR45I5SqI7GBpmwTNaAYq5VZv5bhJnXmvU+bGV
vUZNMHVKGx0rJI24sFxDx7wGxLy0m3QmSVyIt10+4dN1LjOIfQRBRaStVb33TXpn1mTJf+tYcUTx
ljhlHCdJoecaT62UjS5T1zdkpFnP18BoEBpa6/ZK3ev5WigcGC51L/IHjsiZlXwrJ4V2ZR5X9VrH
OhVOtLSlPr0crly0sldmaERSwj6Pv4bGXtLWF3nsb2Swheukp8wYrh2I506ExwXYEvMCqEzQznm6
YxTIlbY7P4/tXOeh2aToSS5mfrMqWuQvL+gskuXj7NI2++EzACVSM3hqqm92bmuG+ngHS+vnhuj6
B8dJumOXO2s8+I24SyhdXjnwl3YR/AH6gRRFQXaenTs0/Rw36djFRGn9AEgrOCaZvIbhvrSLrm3S
H98TBKgyT5dGo7ST6GnmcbB1/edNmc5t4zvitlxq9c8LotFP4LNzGYKAysdTUwa6ubqd/CJul605
BUP5p0ed9/Dyp3q+awgT8azsijbo9ZxzgJWrG5hEKouZqLDdCHfz4qlTzRUP+/xAPLVydvYG2yxG
CWE1bqWnP07NtiGUXa8PCwWlVwa6s6/qTfTXWl7PvxV3lpIVT7RH9PGfpMNfHrfxkPhH6S+HK7Sp
6dQs7WAdt7wvqpuussbxSv5/aZH/3xw7euYsHJTDi06QdLhGkb5rehSWK9la92aaKzQSF2XfyHRU
3//9A/JUkrRauzrdOTdy3YZWiHWX8XXdNXaRJH4oRhTd/gcr1Ktp3IM0t85Zzk4+EQIpJ4s9a56P
dtsUwMPMayXbSzuIET4V2ECPxTw98Zuj8YKJk8dr19exzb8OSdFtb2snK+O834tDo8P3fHltF6xS
Zgt2+AeBKt37p1bTUUoxewvu1yPSGEeTJpEnGv8G+MJ4nAFxP8weiuZXbt6F04krBuWC1T3B2G/m
X6dzFI5tmKhMxwnB5dGp8+1WZVPthA3Z8zWW+vNogD9ENAVBfa+fyrOzGdSG9oKky+NhHJMmmgEW
2NHe7nejzA2G9KaQjA244sAubSxVcKpue3WBPOPpChvlqTTTMosr5K4VANN2YmyDtw2L2YfF6q1B
hCj2vJySqQPN+/JXvbC9aM9StOJhlTYUiafGJQH/MEzwu2tanxGVJPXBXUb7ZrOb+efLpi74UNpU
+BgLe0AHzw4QebZMhbVTyaEnhnkuzFgMa3F82crFBQHR5ekG0Uq0+HRBhtkmwPfGKgbvvBwEnu0o
mEdxh8jhP7Yz96ibjptJr486DQWUs0duJWOkoZijUlmIjvESbRAbQ78g2m66n19e1bMzwpUjRqVd
Ap58R14+XRX6DHoy27yDUyIKdZttTHdBXl71BmMxkm7x00gubVd8I0YrrCsHlI7p7lL+KrrtHOwd
GUlovgM/aG48tU+buoDtWXQH7eC1ewTCGfFTPs7lNiRF5FZyqDbkc6sNzVvt90NehoZfGfv8ADp1
qjsEmYHe9PutsnX6PSuAXsjbpfRb8Sn1aq8dPytd5HV+44l5EL/qKhdoW4vMUCIPs2Kui/xgLMmu
zJ/qeu4MBMLp7uYnZtL09od5bQPRRG6aLvv/n26d/bXz0mr8Y45Gu3zerM1lkEvl9dWvrpDjFFmT
zsxDLpoMod3cHPPqbmrz7M7wcoSAJxTS9Zc1rUf64WSwRoGUttBqirRZzEsQ0lDzeZLLXYkht9PS
/0TxyJL3EH8G41eAfHvwseAP2mjow7Qy6yjzZys5DDUfuYzbQFXBfQq9rIycvBDLe0MXDjWuZsyV
iit64kWE5GXQf1yl3edvegRQ7ZsyCNTgxKylcb52TPhB3Rg9aJrpN222QCI/0LuwEWt3EWLpEJhP
UQQ+jRXIqtAt+QFeDBEly7yoCrqgYuBOqwzm/CibuQ7TZta/yrZ2rew0Igz4uRtI3Bnv0TeteA08
tlGvxyzYwDYzFyYjRZoHfqoLkOSLOTEfBnbXVtfb+9ZtgbAGTK/RzAswujGaPKfM3w677EwVC1tM
wWdHaW/41k59mU4Rbr+e3g9NTo01nGvKVSlJtArMm9S2xvWdm61jQfqSbFNHezJnzlAellY/bZ9d
VBSTj5njz504ohqwzOVtOc2MSPLSqZ3nEIaML98ui9eUSziWyaIpc5Dc6ibMNDIkn3tPSoOMr26D
8dOm7UWtjGxxNvHWH+yk/Cl5xVGEr4TwkyHelj63fBr8hjO9b9zUcH5b2yYTVGitoUuNKE1mL0/3
z92bQ6SnjtlgcRI0S4J5SBHBByqaFRD1qXX97aQTp66/jlZlFkWYc24XXrZy8pZvNEhni5d8ksX2
2E0+qMcTU0b0YIdWjoRpEmV5aqXtfa5c5tKEQmvT+OJLvQ1Q0+W69XPEqKVOf23TYDPvFquV20dZ
91Py3g7UWH9AjXMtYydQYolwP5sX+sao6nhuMm28qlBEg25PuX37VArwIdBzJ3dC5mTpvIcmbbr+
E7FcZh0bP6UkHwGsG1IjHlRjJuKm0+W0DzXppNZfa1lxN9Ev1rie0CuMDRBIzQiG3ri3e6tqg2hT
yG4up5rk0SsjI/WV8MPNKqj2308CPmgQmXM1bb+cVNCnilU6gPMhQdNGI4+AgGq/CQdTbNoMc2Or
l69gKAmTQhjkqn6wrESAQ0XJB+BxqBs/Kb47Xb+2WeQlxma8c9MW6QJ4OVohW76NgGDQ1F5aZ/pZ
kQmmaSisJOinqNbFPAx3nkmKM74uGoNJarf9WKbtdOpXeL9DNJOFeG7c2q5yHmo7d6sJdaIsrdPb
MackBAraDCDW2ajUOJElhWiLKJsWv7VuN5vBO8tHVSLwPb2rC7srAtxG4C3mx141RC1E5ci1IJU8
1sJ7BRlwXe99YEGDdWiTjclTS8BjcRgGDSQyDsSS949V3unupkO2IyOprZjwkYdMuFiCX35l0dU4
jrl2/4x4Ee/eNIrB+OZl1tB8qDzY9+D6gCMBLYSO2vyybNxwaM1ECNGyZvN8b7ho2H3QJOPTJ2Ns
+vJUlolr3Q/+PpYGj2X88EaUkcNs0u1trzbGkTnKRKJh6RIzdJMleeUqK30TwC04WmVQvKFz1vJe
V14wOB/8zKmKA7WtHnVg2tpN+sZt5wUKcGt3Unyx7EG3P1lTZn8Z3RxFYmcSIjjxs2gqmGkx6Qik
QWmfAFQb5f2ga+XE7kK0HhU5lPQv9mT5wghFVXXtg3CKAP3wIiu7BzNvHPXYyWzVD7i49ssmqcl+
Spjjo356W+ZXb3Hfvvd27Iwt+ALap2uOQyMyL07NdtYngmM9hvNaAwtFfb1Svxv4mv0jwNSsOq7I
owc/OLINZ06ZAFre9q5V178CJXMX2mDPPhyabe7t35mciQ9DQcbEqeaMGOvbAtZH/bkq8yJ/X+ut
2+5SkcuBCU+rKgvkyP3RqG/kMriDdzScPlnNm5UED2nzbfHz/s/s68X4PRdMpWOE02jKSUTDKKSF
rvW6Tjb0+Hp1txgOxjww8m1skmQNgyDNHNgYTbrjTvvU7hiVwtyqrv7tTZXByJDG74adXJ9YY/C9
k7nRfvIyWTE7xm046GkI9mtzrahotO2APTGnaqzxnf7an3x/LiGYB2bQvcoEAtUhUJhJhn6z4sIB
FwzT1wrkZ4+6/spIECs3GStUgPQARWk2KNs7a5MBHAKgJP1Pa0Jr9BNq2NUvJszkPqXRkskAztSa
n0xBXSayOYtM/GEWUPVzmDb/HRCuqY6DykjXt269rDcJ90s9FClzZCK8T/fFN2nthoM9F18HYDvv
St3kv9zMGaubtlntt+2yMJikMZLxv5fga+JD24VkOLh39dKl03uCA5+3P3WC6tRtCFmc0GlR48Hw
lFwjuwl654ZmHMAVAL3Vp8b0+Fh6E7d9rw2TCVsqNcK0Rc4gAmqH1oDTlWV+zF1HPZBO6Spsq3L7
ztjDLLhtR6uThzYdFkDW48gYhM4sGOGmTXmURp2cyHYQmWjhtxnA1lSXxm1VN0Y0AwuPexok02nh
Rftqg7Yso07xxkROMfNRMl0iADSDWx0j3S9TcTtks6dDOfuIcROGBAlCQesyx5km2r9Dha7UBP+1
d1NU/bgiGLP4ZmwwikWF5m4qQnOqANVhTkoiTc5UxtherZX5d1OSvsPdWZ8Hu6nn0NLB8FHmXvLR
SVb1J4V//tbsUctgR4QwjsxtBOxjeL3BfWhyBoYF/kB8ih5O6z60qlqLt02z1cPJkkPe3q4NLJzj
ZI/W+rGAr97FTIAUWZg7w0Ii1nA03SGo5EFp39hF6vP2zf4dKLvropmjUSnLighLGi+WG+EHyENd
8YjkXjWHbj1Z34PFqe4TG5mLGOwyYu/wbkb7lImtg5u+Zfm3hk+TRdlSiqOdDSXjMJFDOFKqbGuA
fVVhReQ31TGXJf9JyZewOyn8Og3t3Ew+9UWeqxuZqMUKmXEHpJNJc0ETBWbZvilKhqIdPStHuiYY
Jnc82s1g0LRnTk0QNhvT2KJ0BrsbCsdMJVe/MpzDNlXtu8VjEMj7qkhyM1pckY9htXrtEBZMUVhf
OV7SQqRObJBNdbJ4ZtzwPdvX3WZYN02SVxT/bEYN8IeEJKD0JpMhF3B/5nD0RpzZsGWyPNbVLN5Y
gKeaH2bDNFDh4zPDzl2nJE6Tjr/WLpjIeZgJeMtb18scJs3VtXcflGC5Tn6JDydaD+rid7HZ6/Lb
RRfnS1W2vCd5mmV2XA9B0B/HLTFYiznUEdGSRHR7AdBxxwgn55Pl6MG/qxW1nSi15+Td5iUM1WvB
1t+vsyKenJeFuG7e2oAJXY1M1ghlngBhxXTNHhluYH0bZJA+ZGVTMT/OsJMRZxjkWVSrGce4bKb8
2FuG/iaaQgWhQLXLfGdNI8IHDiCG6kvRM00ri4thnOrXXEu9Iae48vK5KjPEY0oo+2GbhGxjo7Gy
+8Z0piBq0PbewqFoiiROktRnzkAON/W4TekycFTr4B0z2ur8oNZsZKgSyXjK9ArRuccCME4RzhCV
vKMaFaXnTSgmfaTNan6Ri9ghT/A18yP1yOEQ2PPcRgwpVafNmhnTsDhJUp0EIXT7mdGAjDPzvSKL
hmTCd9FG8YoqXCBBVjc9jNZHSnCMcKNZNZu3nTeacMAEaQr3y83EfEIYcc1vaun37T2xColawWfJ
bygs8PcY+eQM8bAyrjWEopJ+pq1e/bZMxqSmbbP8Qtsl/b4kRflQO6DvjjY5+SMDTooPNSM4GWjJ
gfoy2bUxnIzCZkRUIQx8ZmVu9tFb3ZKgwFAB46YIKOyTa65mcWuX1fBBZcTbW0R2X43RNtb2ux4W
nT7AMWrjlHGHvAWCV4v5Xg7qVKqUfkYwWJOTzswjeLR1jsQFQ24YPwMK3+iPwuu99WNeB35xO8qC
cHicDY95mDPvUDhktT0eWmTpstAVIv2aJ9DWQyh+RvUhnxjeEM9Vp+wTrrh55dEZh8Rrby7Emilw
mW6bowQAXCL4Y/TW+scYRfBnYHrqFM656nQ0GRMj0nhZeM+A0DF7VZqVdVAOGTnIll0ScjWr7vuy
LHBZktSuinAINvsnPSbSnjFgfsM2iv6jr7zmR1VrYd/Z8M9PpuH6TOtz/b5D0YOy8xFuStFGuaNA
l6RpZ36aGzVzXZot+ebW7fLa3aT6HoxavJ1sa3obiGApTi0RzxwqyphwoCsaXIcsz7vjIqshOwTm
6isGTmb61dKVq3EsJeNQPURHi9ARevyZ26ggoBdT2/sMTss7lUY/G5Rpku37YMgZMnzr1+vNXAz2
j2WBUgVrRzffW5zHdvAmP39l5Zbxh2LV8noWc8tR6gb3+5yU+YfUQQMD0mI53E1uQojk0LiZQw0+
e74pgdnquFuy6s/aGeJHPay5hX/T+n3W/DcbtdnK9E2edZIebTXXv81y6HW06KAoDpqxuhQH1nK6
F9Xa9iQIuvuTuFJ903abvJ14wh/dMh2/pqNDU3tm13563djfrxUTBeOg5puHKLkwCLdkLHARlmW6
E3PlQOHQYMDjSh81nV4HPZl3mK/FSFal0z1N8J3s0bSqtT62RuZsgJyQKzrOg2Z+Xt5ljneiTWp+
dUfqFCGke/FG9g7X3YJY6cV5Q9oerxDX+1B6q0dNBdiCT2dL6OCw2CskjWJdm7uNBrNkPCq5/MFi
ziM9VjmOTKRjr8NgrEY3aiZrSkLGO3PI1CzlG9X56Sdqn+WHxZoo/ZD4TUNoMxXKCBUaC25Yuf76
rigT5/fcBOWrZciG5G5NhS0PgU8Qc+zXyh+jgiHRtDkU047NzivH47oGwQfe9CaLZyer73M43ONt
z8y/b81si1drLjYG9/hpyiCjYJvuvKQP3qWB0ivsxgIWwWCvjop02nUH31y94qYzZZ0zhKWVv/zO
XkEV1aq8l1u/fZLLxJDk3hncOlKWZliT5sucKpqry3Ge0+0LXVS9PuAtnOoYUMg7VNIfl6hz2plw
tk1I7hSLZ3eYH/dloqXzwSns5H3RQ+UNs5GCUpgIYoDYKrTxp8zy6h5C3+7CKVi5R2bVtF4ET2Z8
9EY9I8+LegMbsC1utAFxeIOGG5OE0nZj3uTsC7c70BysnEiUDO9yGPpFJQ+aA5KP1eJ5IfdZ/qSb
qD4arRw+SwDz3xjFrO+TcsrXaEzL4LO/zM0vin/lYz+11Y+c2Su3DcvsI1rypL8rbSn0MED1O7G5
BOrWrofSx+6kOVFCjctBMQfWCk2pOnYWn5FEheUM70qEQkj2LSAYeE+ve5zJUhnQp/rcBA0knG+z
HpxXnpszsi0r5GfbEzINB1mOP4oh84pwLSl5RkPVuMi8OczUDvtp8L+rZCFIntIgeWAM38pIJDbx
lZoKI4M8tU4P7ZQQpBjmZMZaeWUDcYu5fKEm7/gqnDT76meu5Hdb7T6tqzObk2xzVYR67ldSIIij
JP/MQu5OqhLLK+Xvsz9c2r5j2KWWl0RD2vjTgahJ15EctvwLQHz1aE3uMocV+dEWVcketdFlbW4Y
bzijdtu6XhMlNpT8O7/X/Xdr1vKDuwUS3y22+m1Tj/5nJ7FNfRsUSfGBuevNT6abba8QiGj0MWNe
L/PK0bn4YqzUTkPr/yg7k+ZKkWwJ/6IwIyCYtsC9msdUKqXcYFIOzBAEM7/+fbc2r1OVlmllvevu
KsQlhnPc/bhzAzPeX/TysZ5broA0xyGTI9bzH9bW8r9MjqaVQyesnvP5nwxWAn2bxDPVWl+OVulc
1QNNMrWv002J00rxUgQnR1l6hpSGNFBYQg1ULdfNTsx9pFXdzxFb3HsXggT0Q94v9TlDAS3XVFZV
d61DPwEOBH99VvdpeW12rBDOUhHKi2Co/B9Zo9pLFOpUMfVMiSHHgIz1Uvh9gtA4XeI1EEGeBKQ8
dvwViiNKMRlP2JFS3xbyiQiXGwmxc72Zir4dy50MUWOGV6tfwnsPtSBq+hbTEdLtmtrEITaPV5CZ
nRtBmBafMrKGdKxHcrhQ+pPwy1i47p1odLLm0xQKfyGAUjt7PCq5Xqsg20KuwrF4DDD29aNGj4V/
dIJJHvnGeqdyY5i5sQfxinKKgXbG2u3hlIo1XNfMvy3nFbTUky8Wk1+SuMPlmFNW5xFnkTgPc2ud
z6xM+35i3IA5dDfjkFGAZZeprPe7Yaz78LCveXW1tZshTtu4mxOFYhvuisXjViPbFjaznkx7XviQ
Q4e9cvMXN9X7Wx+uVp/wDavraR1tmYTLwOKuq7T5MopKv4dNrZBuUqF8g1fYbkqfvM6Enrm9HddN
1PcWZgtj9hhqcN9k7RwSiaJ0KsyrdLaGsqOY1HSrUjvzkqAN+u292oVF0nc1sgsEkarsRkp1OsPB
qZwzMqF9hpgLE37z3AJStDfDvrwu6SQ/BTCV59ts5WycfZ5eumYJvzVTV+fHQLbtM/bo6svUidLE
iyOaV4sYKxVZdNyfd1GG2Cp5YXeUxmOVht601AcxTGFwWKdUF+cGeJu0r1bJ/TqrQ2qWnbb4k6cG
4EW52sz+O2DWdVLoKlij3Jm69RAEp+wy9E7Np2rFGgGD9L0V0Wry9XVUJWWo7cvWPzQ1f0zSzT2P
XoPeHxJr39YbiueeXnYj9zpuQPSKA/P3TQOmpvs3sREWmn2r9xOksFl9/xCUIggORNCiYFyWflvi
vXBbkCkycK1YbOvecaloo+MOavunvfkWGmC+Q2Gfu+Giv/bphKFp6k+9E4Mx09ZsvjOB9Aiv05eD
skWNJadDoBEeAhxHxuicvGtC2u+ncqmuZ1LbmNIYF1qhbPc8+qvVYBWfm1EvR9umxojyPHNoLQlY
BQtnfO+xNJNt8X+fu1vplNRtW7lbzXEH9VWx1xbeQ0OYtY7WbdIgbhURg5jbOSSqaW/6zsj7OkWA
IcRoe3xmnTSG+PLI6DC7nzesbyKAElKxZ2TAS+KuGKjGbhMGhqVjq5s6TYfHUNG9x+PWtfJ0fNdv
xaomjmkM2vjHiY6mUU3l/GTvKrzTzTquZwjyy/uhzaSdEOI6P4wh7oz4W4/4ureEaMJQyXyiErAG
m/TcKQQyem7yMtuTvcxmGXddW+w3lapo1VyuwVN+8OSuB70LTDIFedT1VWECeW60HudIo9t4yllV
Y7SKOsjBKhTB6EtXsKEKpiOyaO2GikbUc7OzKXOCPcGDWENcpuWYRQEm3EQTT+n6ptp6tM5yutQL
MFXnrvMX72fuhGri3MpGQh5ZQH7k1vVuHas9q/bEpPb8tLiiEZGUxTbgfqFqH96l8JtYNxpJ94b7
1RqgvXB2BLx3SG6r2wWHNDdul3DpqfaX4AZeyHxO0eNZKAyAQqLCLESwB3KECCiWfkcqlw7y3pYF
d1MtVf0u8mIHlFRh9ZQiCdCHxhfhFgv6g3vi2KmcmB8yeWRZww7OvBF9mzo2k7vjChMT4XnOYKhP
5WriCVqv4UvuHQ3AqlwDL6fVp9BI+mrJWOUjLA8h1dTZE4XQNJG+XQXQUJs/6vupoORNsN6uLpoq
p8aYMzH3ybzk87udblZNvbfo67Jqanlhj6l4MrtyHpAX703kjmkIwmq1xhwaCL6bvXMBwPLMHT//
QzKQIx3qH/Zk1jvRpuMzMcw9QXemL3+4TsV1qud1f182Ye6crc1/9B0mHTQHTnqnt9bjCEo7+3mu
Ff68M+jTORF/9rd04sjjVVljUKH7RBJ0a776rQCY3/cZT62JKG6GjjFrwSytdA/cc+oO0mx4pFXd
dexk7vaCTEF8bWEmuMjCfB2iepKivMGOFD4pG/v5k96CfDvznZ1wA2375oexcGWhWvd+COwgrZhm
NLi17aUE6TXr8FmsRHiDRk/WTV2eTpo1z9OHlutzjJdRzleQI8zXopX2BbmFg/RuVndXHtRMUz+s
cqPe5ZHtnb0KD+PCmfsu8GcOK4Oy8LEP2rK/GlLfJuHdbmY3yfwamBIT68A+n3qFGZaLhwoh1LLd
fvILnQ4rSs0q1sCpz3LJAUsrHPCWyFXAHhnmI+45l6AE125Q2wPlNd1DdfISOIatvV1z7Dkt7Qfl
feQFovuZioY87XbNe1rh2ekeyzUcyBJt8BI5hoqAbQboCvlgKEGs2EOddT9Q/huOgyCHfJpzDAVP
va+hyM5WjN7TRs9RxVnHANJc+BupiPnyg+DwUkWNnFQTs0i2l3kqxVMmSyKst82Yt7ZKQWtnHF+q
aFpnfe9hcvrNcPPcgTTLe4yAO/u+R42SAtk1FQEbJ1J4LVtpvqQgf9ZZ6WzTfWPJoblKvXEn8pLt
5R0ZN4T/K8XJk3qFFj80w0At7wRFWCAfGkQRo+fN39sKbDbqOc/Yf6aqoIl0ld/bzLtOBzPO5pCl
A6z+qiqH33ezKSpMbXkPFZRpz09N8jWGHnb3blVw0Yd24CiOt3JlxQad5f8cHWt7VNs0D1c68Lhy
NmsZZOzP7voGDu6reEDxfObha5tfFAoF/umaw/FS686h/OsycDuMZuw0BtbdX8p1lq9bVRMmP9uV
uGKsvfvh+QvAMz7c2LaWsL5fptqffbQDDbS9m/n9RTMI/s2NmXtKWuXXJJZWgfsT3sOF7UA4cOKH
G6aqWjXQZuEPb30DOwEWbznU5riCPrSvN9NYn2uh4PoFsYRFTDJ6cMKRU/h3Pwf/TXCL6x6rxdne
V8w0XnkhclhoNur24G9l6MWqn4fxbMEW/hLAx1qijiX0iWqprZPMSQVRocEunLNNjs6r5bbFM4rY
/OsENvuKWafMz6Cmm+e+LNwfZu8Ip6XoscD84ebeddermzUM+sUc3DmU31Cp6z2y05Ixf8ItVHVh
VfXypSW+zr208zY1yYgAhIWME/NP9uPagx728MTFXG+UeOhscDSvRK4PgynU1YCfBHTT2qofqdOA
BMguSJPcLN5y9It92uEZXYsY6awTQ3aDUK7hnWEGRLyyXrdjN00Oqa58u8tWdhZcMiOXPyq9jA+6
3SlqRTqkbrwBVzsHt3XXMtZW7VhXe1qbNMJ6yH0V9goj1GaBPR5LGthHvxIkzoauENtFYXL7iawX
Zv8tmVMb+B0uLd0oQWeyUx0QZWmq72qSoWsO96X9JAz0GLd0icHwLrX/YA3enB0XMTZffU11FBct
YHVUi8zlPrNr/TT2q/sdJ2PwmbaaOj8yI1M36kXhVShvnG2z9+vKkAkROVUK2jRnrn+HLlhXScA9
vCf5GPQcSsKdGKCb8X84ZkS01Gdp3fvlFenyC8hz3o/yoEJTPJVVtgH3uIsoDl3HHAZwng2srEeS
a+1tQqksq716diw6h6jBsSLjHzd74rX2PkZckXAcEzfNjwErXpXA+MhLb2nSimGl0Lv0qkCsAPrL
+innp3zW+84YMfmuRReLirMvnpE7YFzcdr0+Agll90N+cuCoF08+CyufvjDMwvZrpxTNydZocpdz
FQwqzlCAwRymgX0xlOy/N3QCHJDKbyG6bIfDtqLMYnO2ttGRLIAYsC9BH4Uz4kATW3j9SPpPI0lM
Hpk74Tbw04NaaSIihSfqsZ1HUV6725J6UbBaaxFlM95Dcd0CqJ4Hm+f+0G6ff2k5UnJ+BH+66CQl
URIge1KPe1VP15uyuuKa6sy7XrTlt2fu3M5F7LoNOhoqB9AaKWcS0JuZ4OFY7BmLJ3fd7nXeJl6k
d4rsoaHp+rLSEzBFRABuFu2BTj9XQaY35iV3H+UPV0d5gOo1V1pTphwbMPUqrvVmJgZkHXMrp6X7
JmrhFqTteu4589XTN2+u3YNl51N/C3QP5zUy9rhxKPXez3Buiu8b3OqPGvT1WWkP6USq8eyJnSqj
eht7SvOkmLW6G5F7IAqDg8Upad5WKIdZVQxB4DGOreZi3oh05hCcctBybpLRN3FZFQOfYiGNm4kM
3aqozQf1HKI2estruT5bvR9MUWO361uL1bRMynwWD9QT+/NY9vzxftB8Vmoyz9XaWWHEWS1LxqzQ
nSAWUyQ111umC6bHvXand9uHMSqweAFqwB4emEv7JojktKo3V47qs2P504MSNKjREMzDN9vKWuoR
miCdpNCaFw0vSEmXTs5VQUnqxWR+Dx2aFdyvsfN0MLmdNSILtn6jz7gL83dfLS6Z7OW2Ozg59Vhr
KJQwRZLyA8oYMbDPXk1ZB3FhOwXqZVzB4M81Gq3odCYzIcMHVpEhOOq6DYA7YeQq/YyFVP29WmfT
JSXV8l1bU3ketjnT0FrQu00SlrNaj2sJrd2vXtPHm18p3iztrPKwp1wwcOPB+lVXVvVGQ8CkdtGI
/cmWmzVFgeiXJ5Vt5aO9zcR+2HKBheP66HSMXgNmug7G7m4e0/62Ubbz2bR0+g/ATo6Ke8RWXze0
ra9ZtzWfBq+ixEYIXiIDK1LnOXe3jhn7rXBuBTR3ft61Wf+Wz91JdEgPUkULRm3j2WS1lYjmKeS+
ENtUQidBJj55HqKWMichJVr6dvwxM9zx1aMFzag3HPanQ5GQgUDKfYvyYFXIrcJq8mI7H9yHwkdp
zTpgdiOaJls+rM6yPjREjmngSlW+IZyj8djG+fuKfLmJ8uG0codBFd35rqv2pYMEZhGH9VrEAjDA
iuAL8jACaAJ+2r0qv8kR+PuxUTaBHdnCP3TsczXlxEDkAOK1Jbb6XDUpYqEhW8eHbEiRVZQnNX+k
1JJvyM4m8UI/Xt85LvA2v3Yp7rQZs3ukoFjiprJVF7YcwX3NSZbEJnNdbB+rbgoSHyDtGSBRv1rZ
Qla4b9VgsbMp5C3SyNaLiZIDrKJH82CiS+lvMWcrgg3KrfZhY7KuSETv8JHzEfo4YdnLJc4Q5r2I
3NFr4uSbdb4IKHfO7Wx9C7SbPrlULvxOnpjepbPD7DPmXhDsIt2N5lwQmC7Twk0vMVpd7toeH5gj
y5/DDAUe92PnIt6GdZ37jGrdMWBMjfa4HrbOXAvFeRL5YzZWhNGrfo+Et6V3DHXMj7MdjO+zGpU5
lziBXLU19DvVWpdCRSr3Dexu4cjzTXbeOczNg78W3Zm19Kh5ViX0Fa86IGfw7TyPCXJCk+MtSFpE
uuLQZDXeT63y2jsIM7dvpyOBzgyeA3duqocLP10bzArhSF/7YJGMOuRO1nIriQBIBlzitjbMFSCJ
8dLb3a/J6dsB39Af5Hs3J2HaZZoySBWXu9uCWusUMTygBYqPYy+26rYKOy7Mpm8Wm+VjnMvKhWfC
ycbqavomr3q0xrX8tnS7/zVH943uMnesL8Pe0wi5NV46as1R2GS2xRBjNlkppbg3O19YheU1ev9v
azrUfey0mgrPL6jJ/T2w8Xlsa+u8tDUapnWH2OSQLvv8UAaU6dEs6D6jEooOgVG42BcIcfLggH8d
clevFc5biwCOE8rh6i3b2TrPh54tAdgf3g+2du41qHObpIuzvPY2NyWLTy3vdtvDiSB88q7mAb1X
1IZd8bxsUGTgUIt7wyD3wgpHQ5kfJsR8Bscnrejg/QrmwjPSuuTDGfQZ1SqeqnDNEK+dRIedS3jS
2dzPBYds2r4al+W8OEN321rF6pyXtbaOrVhHdcaB2lexP3ZjrlBKAAOS9AOGUM+XVQvnKU/sITq6
IPIZkZ3P19Bt4BiawhtiI2wAXhJXmKbA/R5Ke3Yq9hMfITVol0bXg+yYg5tqKQgrGxwg8RuG1kAM
2rXyfOJ+DDJcoAgQCu6KfDzM2q+dI4kywNjl5JiXrrSXH4xc5R4+W7DMSTlu/SeCsER9jZ63uCo5
LZrYX06dFLwyfwQSmSKLfOqtF9xFxRVjkVDX/r6UbypXyw94PZ5qqqEKE7CqOrgzqgEEJrdwpwfA
1RamtQ1c84U5O+1e5W5XfEZoMI4UWbOekMkUAp3IythRFRuN6uo8A0YbrpkPHm5m9ORTHABx7efk
Huoiv4NfXe0nVBX7O8XWjOx99VU6PI9ZxbzJwWCs5V8I6Ps3vLuXlzVz1gnvABN0SUgnjK5iEng+
0lMDaGf+Ll5DjM4w4wq88DafqjBHAZYHFNRd92mAukdMZRXWu0AS0SZ7UbnpAUFIiByKdrRJ1IAu
CHb7tAHUtGFBaLfB3MeBEYNHVe2jLoPdC5/Grg8e9slZLAjKnddk5Lo/Q1273OzzsAO57ZwMCWTI
9JihjZ7ghGTVg2MG1XPRQU0lU9cZvHxQ/lFYVs0GPjy4HDlGVjT6AWIQiUxsHEe0KCKvoBUEywbO
FnPGSu9+et6DJxdYD1HUxp1lQxNCu7XekaE9jeMSBmnBEbS+4m5ybOg4hVocJzhD0ETcmtmGqHJE
9omCcZkPOb6ol1jESFAVqxWChnhg+S6rhZNBXzZbGlUbxzvcISDPBV7fNNCITHz0XHsp39zKrhhQ
bjHHxEN1rtakcWb1Pd9bzkBREC8TCacBlw1LdL/RxGH9aOq+/owY0dEYNFjr85zlTX4hKLbhMwrt
PPiZjW/WKjUrcvTaUcIUSnmzUNC89eUcfMIEOERwROxReqjDnZHR3bHHWxMU9te8s31MJsrVutjd
rNN3JuzMw0KwuoVeI0Co3p3K+SZ1KhMra0IJRhUuGO1uveFLm9f0tiVmnxzyCDfTBDRcPXAcwBsx
XoYM12lrIU7TLtM9x9Q+x05ZoWvUpRiPS//PPaDGcI46qxtvOBrhhtEOpS8MXNTnG36pa4LIAUoQ
aU//ujEaNyQ9Irf+ksQV62e2toFzZglwvRhoQHKVWF65JRwuIjjIxaHlxGJk/N5k9rBQRFfZM865
88OWm5kbRnvZW94X+0+ZwpYcKxNW7yGXtDl4bCzYh74MeoxlSh8t6EaZGbPiIbgZ5WHfMKxAsUe7
XX0Dl2/fOu0XSyQxfH+GuQWXWYZxu+m6JXzD0QUFDyyx24P87yUyZUcE3+uy2d8L+ineSmJ0Ek2N
P6u4LEp3PFF47hxbhV9/LXBsJfJH7vgHKNA5mM7iNLoxzCEC0bbbGwQnlsXHz6DqLodls8fI8m3k
9JVWIkdZVGbmEOgQqTV3CxlJQaZ2RPRd39+SLGZtiW951rWbtUQIFHKpuzNqxupL33EqU8QhN5ps
zdGPyLH5hsS0vLdbf0RbWNiNOKACT+9Hzqc8prSXtGZFN32y0Yd/1vA1T64Hd6C4Ha+brnYey9pR
7UNfLhMGOmExb+d2MK+fhnwYMDfdjYO5j67H9GzrnPJx0s4A2rRszKZs1g7CSO2CFepuB1VwoDMS
3qFQHS3iOvSeSeyRXXPIxmLlfAwX0160arUnfJkXEpfAU13OB9cZ+Z9zpna+6WLXIsZBrcOioZRb
+R50iCXOGEyb05uZvgYRFznljytauR+KdoBPLa2FYKYMfD1VORKyDdULkobRqt8Xs6ZPKdX9d6ye
TtDqti6Kg4Aa8MDEjfPK2AfqjoYpoNe+WLnIzSjDs75eKphVBoGa8xVN5yP9iSauuLQHJPMuM0CL
3HsZDzXjjlFl23WNqgRgJElTpmGoI33/HjyaatNlEuCqNEjukoL0yADCYOJ6QlDjPNtbX7yvAWre
uK59qlxGDE0f91aQ3relQlvULRVFLlRrXh07p/E+icYmmWliVO9+EHLc4z5IpyUiNQcFk/at7sku
fPMVqdkujqu/mbOcQd09CbI+vWRJqfpQGQbgAHCc9kEGY/BIXGL3Gji9K44zQoIfkyzW9zmHbgJk
KdXtsIvqcdgWfqeF9fCmlw7VyRAs/YVhzmo+SFzdx5i/y3pSe6jPV1GmCGIAT78PVZG9bjorvzbj
5nxuaHq/T/3aFNCxrLnIdhqxRRm6bMAkF4MOcnhD+0tdw87IqknBcJt5h5D3A32G1r63Y3qkrOM2
hIejZEacH00OnmiHzIz+7Vi6YuUAr6ULCliWL0ZXxVOYVuE9BCLYy5KmuzhBXWsXBZ5grmUtFE3A
xnn3RilBA2Kjt4zGjrGHiKmq9N3LAS2OQ9iXKtlQRYQovsbtUu1eg8WGdbp3Squvi4OacwDaGm0H
Tg1N4N+dOlCXo2baL4ZuyEycTjMoH15N9vUw7+pzVnG2RZhZFiQN0awcA6MpcjBqNj8XxvCuyXge
7WQ2Fsx5ETBfEGFPtM6xO/ZZHc37Jl6YPuTLrxv250Gxyydn9fGF6VFg2nw/CjfScjqbEZyqDR/G
Kt3diLY9p5RIpWSbWLb4vBTO/jkt5kkiDT8hziQhTG+qHJw+3hcQmXgnbSKlWW03qDfQo/uGryoQ
0tJgR5vjyxtmxcxtEGZIj33ZUO9nyh/3BMZoWTn/IertYYP03ddqSY9IRlV2XsshfBBtjnlHGMLd
XznzAq8BMT4k6bhtA8MWVAAXdqlCEQ0juclji51Kko0Q8Ada2LZkBrHsugd7kwgEUI8NjNOkLCdo
knk69Gu+6cRYq1RxsDMTHa/WNL3NziKWwzIZWR7DPKzYaXnoUX8hRd0R0mVZmUjAweL7mgHRHKZd
yDluOqbiKde2CvFF2NvFJV5jYXOzzEVw7xZV3SfOvNfMaHWo7e4Y/oHenphY4Mfonea7rFo5HLd8
T9dkWwGvMNOiXE4kv6JJdo52Ko4SvoofttZCgg/Z6WPR+1QYPTEXAsnnTGmysYV/1O1KeHrBBMhj
N24Y2fRY/t9gEzK+oJ5V0JHd4N30Lgx07OybRmQc6BLfRZVKNLicZ7Tsdvk4ytKjaAZTRZO3INBO
aiaJvnep3j53tSzvFPp06yQdBEUGl/VpTzv9M0hnWkIQXlBDcETqsNKFuhn92vpKHbiMMY1LS2E6
m+BOaqeXZ6kK9q+ZWKwbHA5m64pJMuf74krnBNPUCDXJDcougIjzHabUau8YM3Akan5nyiHcCTOI
kQOxo/y1tB5yAg6quFMWH2y2LPdpGgwEcz95EL2VNYQXm8jG5Wzhe3/audfXcwXGcVGaHCbcmUGT
ZADciTSCu7NDh3JLzcAlUltDN0f7ALRxFhS9QX4R5l321EwhtBMCexvlVFsFD17TIYvlEsru+hpN
cTTzK39Bqz7fndo/RDlWzWSYEN1wz5Bk+q3SYMnx7Kz0HWoNagQjxKe8hvnGZs50vvkotWpAjKbE
RPeA8536VgO74QJr6/wpV+1IP2yF/St2Sl4N3NbW3zLZG/QQaQW4FIYA8qjTW/0kO7QAnLQoMZSL
v3FUDASQJ+zi7Wu4eftMde+gClkAbV30OBSTKKZV/agKphpi+Cjv3Q2M/8DNNDjHLs1gvFm65mCN
maHwN9rR8el03o52CeRzKNcRQNsNdiSSedDcndSoW5Kv/XpDPdMO3nkGt70dcqwJ+jPZ9eJmmLlL
z6uucy4CkBI7CjCTp7HvVi3vBsYCv5vU2u+8IqjHaEFiMZ2rbg+Kq0AXrQSez0b/eh+9Wj/TIYhn
EQKLQgJpC3W+V1LvjouWr3W7g6hJ6vryW5iVs4hoxFAoppKRqTPdoxn/4hNEGkK4hK3LweAAkqGy
zYDgkf8U22e0pTN5GiGDS0dHM8kTddNG6uyfp6s/GjkRDoC1J54NTGPZ/Awfpptr/H3CHtkPdLCy
vxL8mkZT1U9nfrWs90LUmLmKNONzjVNSV5M8+/PjP/rfnR7vYeZIUDs2td5HYyWGVs2IaKWJGLyi
MaoRMk/nFhpBB9dafQdDEUa7q7Irs9aIgv/8cPlxLP+fp9uWBedIIgNA8q+j3YiL0940vHzWKU46
6MKkzEI7pkZ57ilB2drwzobJr0M9Lm7SlsF21rZ03vaSIcPeaPXRboR/+7vsDyPnH/4u9cGLgXwy
z4VQbKMq5fo/GJmyqRuiCA8VfU+heaNoxCJQwuoX9HxMrh6qFg0MdRYwfO+NL3/+pT46C/zzBxFQ
iH3BKQDa/uBf0K+cypOiOW6bDOCVybkMWUcNLlkNndclf37aRyuK09NwJmRB4F5KIuWH19eLasly
RweCGDh4V4XvII5jWMqPitVd31OKi79YQfxuGeKCKD0XD1hMzD8sBOSRQ1cNsPAMA9r3HiITCl6J
Ene01gu0c+GZbhnW7hzvL/EO/36w8tAZe6cViEgx/LD9Nk8wJqI1Y4CttZxMTLebDfbsCnWEg3K7
H5M+6PvH0K2z/2gWwZb75cmnT/4/5iJBx+QjuhtoRjz+GPUCgi7050YZe74AjYJS//NH/fde43k4
0LiYFp++7gcbh2FzO1ko9hoJSNZlhrKVy1Z3F39+yr+XDk8hBDCwKTsYODjtrP95Kx5dOGHPznEW
OV66J+Fb0MhLKPnlk4/a+i/r5t/7QmGB4pwSPKEDMbP69XGkoqZhI1ipZuQGGwGJY7DHL4zWyPM/
v9jvfj4OamXhNoa178eDciEOQUFqciSYiQKeCxNNpaURWP5lXfzuF6RZJOAcVolYzQ+uKEyMGbMW
XEJpb/cXlEeMfDGlXMToSBl+NiDIfwlx/+0TiXC3GLTHYs//sAckTX3fTBwuOhfLt3QDWwvH8gRe
mry6x3cy+Iv52G8fqBCAnLysmbo/OX78zyJZfPSzVc4rjjD3SNfzYb/EyWJiyH9xb9FYTPf//eOd
3OHwZlHKhen79YEF2nXKFh64936PtHoMkTit/V++3O8WY2iFaAcoxXz1r9usM262BacvJ+fwYWlx
VIjXLPPFYaopZP6ynz/aspzODzJiWIzc2jzswzrpwqmm7mXu2MiseSug9lCHVghXdn0dDO0p1liM
8/Off8jfHJccHXieSWQpTHx92N6eJ1a59h3bO9T9odWMmg0byKvTlMe+TgM8CQr3+uQs9/7nB//m
bXkwlxHZf5ggf7yRUzTq60g2FSD/bL0wGVRBPFRpccfike+UOOgyF6YO079s+989l9AtB39em6d/
/JXxj8nK9rTt7QwxdMzoK6RwJusyPMjxVN/LgYGlXE78F39+499sEpxt///JH37q2S7w/+s52oZ0
Cl5t5sxLyiE5n5O+Nh0zxsH/8sDfnHBUoDZZM47kDv4YNDMs4YiksIbGQw2buLiGHifh/Fd3Ppat
z79f4R7GqY337K9b0TDu7jNdylMqvV724+THiPVclPhq+ssx85tvh82gw3o5xWXySr8+qq8te1/c
hjXD3F8iDLKy1TUM3RYQSQ8aifJLJcO/ZUv85hQIT87vpAO5JDDLDy/IsDSGzjNbpGBpJJZBisRY
S3qWWUwo/HmJ/OaLheg9QjI0CLXBG/XXFywZOAdB4gVT/H+ScETDtPTu3yzf/v2UU54CCQbBKeiF
Mv3Xp1hzQEZHT8qLwDzgrloqtHx5Of+lEPvNU072ePyHs/NkI/3rUyZmVZrWDSGlffShWrYuSp38
v3oqB/hqUigQW8hN4GCe9etTViufV9oJ4igRjDR3Bi+dLumMGPO/nBv/XgUuvqqu5WCFTarBx9dp
lorpHMbxkVKPiJLjYl/7+gXNuN+vTJZti/23++A3PyAXgcQd3+KOQ1z+66vBZamsdcmk2Bc8V4vG
NjHyyL/YDv/7UDoZXXL641ZCFRl++Eo2dcuytgCptuVWl/NYkkWR1fCrpcb/+DTPrbfX/7rI8RnG
hx5BPN6G/+pQyZon1aOmTnYcTSuWB/qot3VN/vyU37yYH2DkqSwuU8/+2AcsONNmpupp/cMesrLO
/esGzCJJqfCYis3+Fvbzm6/F87xThKRNjsjHhdh5djpXp+AdgfwsQr8hjwMFzH8+0gko4V/OReJZ
nud9OAFX7oyla+hu8t4HMwNxy5iOsDFOOvvzz/fvoxaPNlzsFTklIYPyp9f9n4ouX+w2XMiNjlKn
3c9cFEtfawFbdy1sGtb7lIlWGXV9Dqr55wf/5nfEcAisz3U4clEE/frgcPAY4GeiIppqK70PVqa5
hrLa/mJl/O+yB3RNMbtHtk4geclfn5J6OfZZJ4tQh2Q+ZOhYzjAStHyiOO+vtahBA0o/hPsaxuYv
v+xvFibVJAaILtErtOIfftm5sIq+J28l6jyVvTDf5L7sU6iGY93hSRJ5Fdqp43//TTm88EnkUrE5
/H99W9IzMffCxjCa81Hclq7Cwlzr5f7PT/nNCYnIAU9Bm6GukJ3wf8ydyXIcSZZlfyUl9hZl81BS
mQsb3AEQMwGCxMYEJEGbR7X5d/pT+sf6GDIqG25Aw5tVvehcpEgIg6Guajq+d9+5h61U9QQvwEZo
5uR2uad2MuxWHoBFTjHPC+PISnjvC5rQ1qBNOrINiu6wtV7DWAstLK9fe0r2qamj38sTCbh+aKUX
ZRvNFwahwb3GFf7u446+N0UtcJB4ltgKxinrF361NqyEqHhkGlQYIJ66VuBKBRWURu/jVt6bJxhZ
cTPnjNO4JR+2Aleq1lSJT1WYmeUKBBKP2gSqFI1vQ3rOFEcOuHd7xfMNnC4EfcvY9GoB2VJRhsiK
16s68amkr01kZYC4jqzwdztGLGG95PD/2/cw9Cukp1AgoMSE1CngL0wqRlTOlJ9khSGL24XqomMR
wHcaXa1WeF0xmAqIm8PRXFSk0PVCLc+M7xvZL8rEZrT2FeycqCj8jz/dGy8Uvhg2KKbKtVFW+H6b
yTkVThyZpCBch0VQBMnQyRfjBDPMSbryJLRJESlJI8jrkvNGm0sayo1mi8RfARXvyER658OuO7gN
ztoEmbEl/MYjukwcnyqUNW0UYI6LgC9Sjz023u/zq2bWn/FqVaRmlw9yiKNNuCyT6bb9itPC/lE3
vEJzuiujiKVTeSSPZudAcesc2pA0zDZOO6l8xHvqva+tYxYh8/oBv2tsboUV+LjQ0ukyNWPATNGq
PmttkyEIk6OzQSjTkSn93hAT8JbZ+vBKefOo1M0FkwjYi65laA2kNWqGrLkYj/TqnQ2WWxP/fXC3
2gpQPRxhdMF6PvW8DoDmNd9CqM1+06jRE2bax87HdzvES4u7IWcwrPLDpgAwIwtQOIVbjMH9sEUP
SHImPnIKv9sKZSRsA9RH8MEOW6GSKaxVrFCx/o0SeweYSO993lfUPH+8IN8bOV5uzH2C7ViibOZD
ywXbpoyVhqRO3klo0X2rGqybmhrhz/+VpvBicADrWiB6DvtUiEl0jsRHqqeuvrLDLiaTaSPiRUs0
pvf/hcaIFPH2kXmcmJvPBMAm5u7LdXAgubHrMToKQBPBH+nyYvdxU+99K+4tHEdAl23IO4f9QsGk
m6IgesHMLG6AV9iXpj0c8+l8b+ECQWbFcgjJ2taKt8wHc04W5l0pUE26PUrRUzbH8UtMVGpX99T3
fNyt92YGAT4EivhGMhXXbr/atbSOMvHCJF0GQav00oWCuDbF+Asvq/jIx3rbN15YXDWJlljEL4zt
COK4mgsU1Wv9NJKesLmp7PYMBp15IrfJcKRj77Rm40NFLPbFUsbZttZrEg7ipNGNUTLPosKR7lKH
GgwiW8s1UL7wyO3v7fyAUK3gA8Spzpa7DdwnsolcX6ooYyeX/q1eiyAKTR1vP/5c77ZCWoBlvFKd
7c3BKkmDOS3wmNCzwVzVh6i9RMB5jGP+ztitNxOSK8TtueZt1jCRc+qhbFT15TAP14oSrtII6nzP
9GI0H9QmzH/9drdWh0SZNIRmQMfeNKiZeZtEMRd0mGJcnQv1Z1Jav+k7rbN6170W2wJSOVyBNpuF
KoGXKJeBN0+lwc0V0GKIKOulh+SCkjSZb/bbNw/2dYMXK0wtLnzKOs6vFlcz1NTcDA5qvrzpz60l
DS/kftTG397dKaiQsZugCXb37X3cLtD1IPTIYGF0VVBkxfOySspaMz3mrfVm+mFDwrPUImOkqLiR
bM4R2L6t1MuUHirNnHwrKqkOsi4+FpN/rxUWLcl7jiVuFeufvxq2nFv/WmCLRqjNUaQkrRaf64lR
HDl91x3gNYYdODgpYVklSqcxybdJG9SmSMotmmmzUWvcrLRh7IzzmGkXQ1+jCUyFgyaPAnz2GBCa
ze+n4DhOsAwjBc6myATZ7FFgypEDrME7CsFs39HG5xKJ8clvrq21ESQJpMC5Y1DNcziaKYH1yYxp
BLRT+In6FzQyUhQeMexcN56DwSSauhqREK/jzoT44rCVNilF2wnzsaf2uK6kGzM5KWRrVymqi2sP
1yiKyTCeODLz30Rp1lYpaCJkTDADx9DDVlEmQgGezMepP3Ni+7wYArUKvdxM/WX5+vEwbpsiLs1L
l3f2qurAA2pzV0vgVSyOM1NtbE7RJRSV0OvHYvgkgW4P7CJEmsaZ7X/c6PptXo/qS6OOzZ1XZT1w
kh32j8RzBACYRmOKnEYEG9IaDoWb5FFJfkwksV1228Y2yy6aFcsGU0dZKP5Z53FJIesyaHnw211a
A9XUuhH85Oa72ULaqsJrzVi1jXGIhJ5ywRtbQVgXT114ZIG/06GDpjajZ5hhaC0NTVHzOFIoUYR7
oC2/ezFk2NAe4DXOS36NUm9CaX2vxKj7oT4SXTb2I5FzslqLtft42N72hSOLSgsyMWuEydhMPx4k
UAAmHo8gQEMXUtY3OVO+/ffa2HwaKieW1DApsgyTuuY9LuIAKeWxM+TtnCYEAfIVv1vyFaa62Y+m
XOrUaAHRVonB/KlMcCJyCn9XXoV1zI3pJTd1uIDWxjio1ssFe9NmCoywF/R5IENGuhw6DTdTiSJw
S5y3UtFcIuWtdp3Z9ydAZVVvSlL1FPpu/ps7MNshx/L6HJdtOHby5kcUDeT2Ira+OglVBg34Rm8y
s2N3tjcTZG0EeQXZQZWswtb4vgAnA544+pbNTeEEWqMZZ2Wpz86R6O1LHP/ViCK24X9r4BYhB16e
9mYiApYZSDJJCG97lIxI/ZRzMGv9pdFHBotY6iiDmgyqFil2GjOMRagk7qNTA7CJx287Nps23V61
Pyw7inN4lHFjdTZXrLa0y7Gup9Fd0B+ft1MGBklo3ZHIw7utcK3HeJb0hrMNymuhlWQlt3nXLKhv
F4y13+eS8nv71UtfyDet+YY1hbLdSZYKFwi1jNkVY8xFWoq+zzV5OZaX3Ky/l1Z4KqMZQdeB485m
NiZ2qULlgz5BBUTuCj3LP00QEnYJpXNHLgUvd4vDycILjM7wjXB708zN3qjr0PStmXGL0/aup3YI
Gpe2X8LsBAryiVG1j30yPvYKJjx6+Lk0+q8Tie2Za2XTZaeg7o8FQtZryOYHceOzNPRiPG7YSQ8P
VAo2KPq1oe7LSutozwVI2eysFCRPr8cGQ6hdliyFegtmLvmxJACujyiT3plIZK34tirJbWybNptf
o8xqPK+rJ+5M6TTjK51zCe4/f7yRv/OJD1rZLIqwXdQebungomoDPmxWlY/cufabOM39j5t6v0OO
Q6SRA4ob4OGAtlTNhmXOnO2XKN6pziTtahV81e+3wkaOI7wpk/PYGs45GDfk0NyYR1WaPlJ0LS6l
QTJvP25lHZbt5LBIOayJP06orSIOHUdUDwVF21mipPsadjKoMTkn56D2dX2mDelw/3GL701HogYy
Ui6OBd4Ch6NHwXapjAUFixpBv4tJMcYnHBakUwrIjesCPh0QNtO8Nimd8T5u+e13Q3jPO471j88o
+Y7DlqWRBI7UppBAbL25SLOyOokdcSyn8rZ/ZKY0skRkqGSecuuvePWSi+VmMOW6mF2K/W5l03ga
dPsuXMyzARYM9NfuxNLb3xPJsL/RprHm1lF22KRvD9ukfmnkOV/ObtNaRfQjATg5eLWiJaYHrLaO
fbUn+3MiSjg5Rz7n2wlELpWnJFOV5yS3tcOmkeLEjpPRtG0iotamMA2qOm4CjJIolujaYxGN9SMd
Tti1PZ0UC487JEibaNCsLKEeqZB1xAhEQZ2K9CGPonCHijylZNKqT6AaOycfz5y3mwvbFllHQvB4
OWnq5s0VL5RULSupETSS5GVyJfmZLpxdDanrtzcXmkJbRWkpbx9EJ4fjCZBotAoJ2k6hmUPmF3k+
NKdlt5JDPu7Tm9WwKlqU1ZiN0C5n/GbOSBO12LZB7YYxwQKRWhhZdYbf2setvBm5Ve9OE2tSgSS0
vdmWtZw6PhuLAo86ztpX9Ow5tZTOL5p8ONLSm4n40hLvYS5ESFIN7XDgnBAd8wIxiyo2ULUBFzmw
07kZGz+pX7Mht9Wpvvu4c2+G8EXMb9AzG5UQMezDJuNljmWwSvBI56Y/hX1SeFQVlf7vtkKkhCw7
iUym3ptcHmTSIbUaqp6dTBhBEw9UhYbmcuSSu11XXFZQmFigL3B3AVy5meLUdCn4RqEs6cNQxrwI
AqfJvQWrPHZqx9FuJdU6cvd70yQhXR4pq/gbFSEXhMPhyxVLmzRBgUgiWsWfYKAbnlN10rUCnenK
sbuVeTd3wcfDud2fFR5hMpeMl9XM9ryZ91NeQisoMZPSb8J9Q9H3F0S2Z+GRVpRNcIjd4rCZzcTv
bK124pRmBp8boIuwN3hY3B/3l7F7LfwnLg8uoL8ja+DN5XPb6jrkrw6fWS2zXCS0SsR3l5wo/l3h
Le5z6Nau7FY71Y2P9PPYaK5//qpBiuLTXFqtuZYdrhweyD6v9OojK+DNA2zbrc2m72CkyPSkldH7
zoi6P0r37Jf3+cvHM2Obzt5+s220nBt9bzY5zdT+45fSx3LF/Xl2/fRxK0cmxvb+k09jP8gZjXS7
xO29Maj22oXqH/sw6zR+fU5uhmybDtcljGNisk6uUgJiHkKk61Xbnw2Z1R+5qL7cmz5qarOOC1EK
C8qncJsA0JVHLMXDDsizfdN/2n8T/j1IoP/mjDA2W6+WtIqerp/qogm+Z97ds7F/+vJZO9K1d3ao
13vFNilkW6mwy7UV2/jahycJ0N56ddwsM/gYx/KgL6/Qj8Zxs2VokD7UfF28s/d92cl7rLQCsYsv
k9PQzfdHP9uxibjZK1JbUg2gW+sOBcfgCn8C39rhfebdJ37i/6LE3AUj5P462vDaj4/6udkzxqiA
od/QsPZZPRNfqsvmTPseXhMOa2e3fprvyrPkSrs27j5eeNvA2JvlvdlFMp16U0ox/9nhwuOwdmGj
emDsjs3O9bD8oIfbHD2hylxv15akE90bPWp/3B/WhXV27K1xbOlt1RRRNyVmtTak8RVBJzBjhhPs
v7zQtbw6wNfbtz3bO6bAPjZVTfVw26f6IJ+Vdao2AfJ4D16K+wUg8BW20/cwhk8//nIvl4+PxnOz
w0ymiKmMpzl1jyyOw1QKlEvgaD5OYZ4RIFlxP7XuGUYz7vzwcdvvnj2kGCkGWGvuEHkddhVGzJwb
I213/hiYX/JdvBt3s5/txKl6ciy09+614VVr25kjMrso5XXbxik5UFiYmu9wTuie86nwMB28Edcw
uPftXj93jozye5sduQONdytqOSKqhx1NgV2nc1sLt4UgLyvUyoK70ufnvmz9dDny+tgeT1zGCSwi
M0LvQTZS3ux1ZpeoYZzriydpnbaDtwSZWWkTfNrm5chqXH/368lDUyg3kQ4gvbYJd28mT26r5qQO
uG+F1Ld/qpyyRHar5b95VKyt6KimeA0QiSYzdzh6OubWeEqCT+qo7b0CXGmdtUMuPHlWi6u0Lop7
qi2V648n5zujiFh4lWxzZScWvv75q9tXBWKhFTV+j5hW1gFsV056vStuQN7nR2bHS+J+M4y84RTy
gTSm8MQ6bAtHn3ZxLGn2rHIoHQ9qhrgHJgeTqTUqLbvLlaEDGltYsG8JHQvJhbVYXOfpHH4xurKr
QA8Mw3DaFKZ6gz6lwaeoTWrbrWW8lz4el+2tlPQqc5giQYeCeApENrNLArCUYOQ+eVgiZICBNdXF
PKL4RhQbfMBYD/bZXKts/skwBR83/faTaAwQ4jKHuY0WdHO4QV6Vxpn6Cq/t7McG6cV9BzjoClrm
MY3nOy2pZBRNE8EAr95t5CUSq0Wdoy6g8FYSSEx9kl/NKaRP8j/PH/fq7RoiPqg6iNsIETIDNptg
ZMlTUYGh8iyANUHXThgyNdGR9+CbA5rP9vJ2V2x7lTq+Oc3IlWjp0g9eKMWhO+EA6qZFpLl5NBdn
Sb9UgZWHeaDKqX5B7CR/NopZObJbbC8nL78B1YzJpkEsTd9MnXkZxqhqmMk27GUziKpQ+qxnMoo+
p4NYcwpuGODKb4/uWqePgorMzqqSPlxa0+zEZpphDi9D/vQaSSQnjpDVIz175xs6SJPXSDyqN5SK
h61E40CiZU4HYCz4b8IrggqM+fWRVt6OHwEyOqIQvyKMsM02ZLOWWR2yDi8Z6/Ii14XiJxKMmBHy
p1/0U7j7eOzePNoYMjpkr/lhlJfUIRx2S8dzp+wsC89bZRiwKJKYLVwiQVzH/iSwhYYabwxTusMQ
eXhqgRr+iIQT2b6CtGDZpbVmHkNivB3pVZ+BZGKtxObasP75q21ZnWWR42cLY35JorO0kpbTEF8X
7+Oev93k6DO0EQYa0R82MoetUDtMzmy2hYfHbOnLMuScHDDQiWwbEuoMY4Q0O4nhNJTEXyKvf/sx
/Xv0XF3/c9sX//gP/vlHBSZqFaJt/vEfV/Vz+blrn5+7i6f6P9a/+q9/9fAv/uMi+dFWovrVbf+t
g7/Ef/+v9v2n7ungH4KyS7r5pn9u59tn0efdSwP80vXf/L/9w789v/xX7ub6+e9/PP0sGJNEdG3y
o/vjrz86/fn3P5iwKjPo31638NcfXz4V/M3P//N/VH+7furz6p2/9vwkur//Ien6ny+ED5QeGicR
Qfk//jY+v/yRof2poNwByYH4jxTICskoq7aL+WuK8yfCHoRVVBuu1a4aa0tU/cufqcaf3FyoWuJI
M9AQUKrxnz/x4HP978/3N5LR11WC7dnf/+CqxeR4dZrr5JSQHMoQ+VZZwhuRwKBrmdknTuyXnNK2
15rQooIRXPtzNvf2fTdq2SNgFyxFjLSi4EWAmAfwqYjJs+x0/GGnU69/coYow6Aduv5FaYn4MatB
j7mD6oQXdkQCe9+qtajgNepD8xkFaW8DypjHrwmMjpukWBzwpklXjDu7KajRhhZsRdJ1VmQhkCS0
wo8GbsJX5OH0egdQTx6/tuT3FdUDTqb038c8lz/JY7e6XfY1xgdlZD6kTj9dDoWh7WR8lWafbsIP
VgHLU5rQY0gFYL/qH5NWjWWvU53hm5zKCf5wEA9tNxqb6dpkmwKFOq4k+DJJ0R9hFjvvm7brvzpt
59SXIxhc4NSyMj6mZUNBXDZHrX5eOA3FNEs0DfgV2Nb81RymEa8hJw4tF/vOgTAc1cwN5Z2QWbwo
JrwAUrfQnqO6nc/tCpsjT7HS0HBJaELEG9igu6BcVnv3SWDBBfIgXp1FKoKYHpI2sZCFVPvzJIso
NwFQAPyxmXDgCamPpHBVXsFvMtDDH2Xm9J87kSa/ur4fz7rETPE70GRMY2oTa4sok/VL6g3aC5Ja
4kbgiQ1Mk0T3p65vEuEvYQIdPrS7zAGdPlTn4Xr7A2CTmpdRqbW5u+onnwm4dqk7Jolpu7aFHtOf
8eorvMkpnLtRmyNnT4GGcz2LvI5weVjtphLVAYia4GC08g8Wqd4tWIv/kOvUumW6VD3EOCu6xF+E
YayzeWkB7kFbdSGpKfkFc53zpsgGIGBcYUGYRdgY1YGd1MVjBl8odDtQUruWW1QDE9spfyh9W4V7
J4urH6y14vuAcyjbpaTihtVgc/olaaDXu06lguBUFGihQwdZKuuW/AI7IlZBYSbhl7CoU5ig5cTc
naS2uF6o9Tex17MEO3AT57vJHiF+V5WNCUWTYNdLmeiEXCqzl+nOUiIzcROKeIgUpLL8tV2SAf8j
yDFeonfItlIILG6P1TUPW2EuNtdYBSdkQ1qwgSMszx02ajK4/2kIbMbTI7m9E2oPo62BPO1FVlIS
+7UmGWhWZ2jcMNI618Fo2dgnRItOLqEyI/TAWGfYNzMUwByzi1A6xxIjjlzQIdld0ktpT/BQkoog
igwBi5prmuxjhjvdgt2z7ySwH78o5Ki5tPWZcZ6p2pj4ZZtMANq60cL/sqnMH4MyZRjhRaP1aLel
4LVeanhjsh3WnyOrSr/gGJuBcJzkTkHuhTean/ZL+QA1W8S7QgF67wOFG2PgTKmls0NIwsGQep7P
o241U4IxNt4Pko7fWbO05JuEsujdPqG+ElcGMixMVxBteKjIaccSsfGBJpAn545Xg1Y7Y2hlv9LH
6EIG/nzVk666DZW9bVzqVY8jZCVC7bYzrTj3F2p/LZwGDID93M/TXTlSsTBkPQVQNhcsDGukUNeD
TjHEowVk1TqzALbdgElLfppjDo80TpNZpnoIFuKujCKociqWb79qQAedj0ZWCkAKwfnWET+2YNm7
5npITGy1IKnjEMYVpD6V2gpArZxNmdhFQz7diRG7dIiBofVVTkbZ+iRqzOO8VoucbyX+zliKV2AC
AyGPGfpfMQ53EZsiMFQHIC+2MjNcHD22MZGQUyipmMM3+e2YCSSFzGQcwSVbi29w15nPRpQlFLpR
/lIGOGFCjc8LszjHyWsRp2FOON0d0w7LYPJKDn4AJcbRc6EodzHQOug7eZmByFc67TP48Kjmk88W
KGfc2F21SufbyDGL58ms2ceUuJX2XRcuATbp3Vk2rpTqCvYy3GNh504wGQXQyQQjPLeMIIa7ozT0
Y4B7mf4dEzUJ3xJVylrIKhOmiZxQhoWXggyTTM8Ejp+SlQB+THLmNYyqpP0EQBetpta2FRT1oYgs
35oWMPLo+fl9XOz0ylOWLjo1q/URC38/esbbOjI/RQLnFz/MBeDVTkSxyiMCA4ZzcvhgyDLkyt9A
0S5TMEyzVeOV26oapGCs8NgndOlxmRLQ3KPsjAvpRExlWeLz+DkpzCHel2Mp3zXUE0Om1+TZwTA6
lytogCAKAiupofaOSpxjdLj0KYK1NC4Bixt68kkYKXT2SnJA6EYiw/Nd10L1m2xXUnNi6C2YBq1s
9OhUtopZ80YzHO/saCVh6hG4ZMoaJ1N3B21Q4ZXZGH55OA5Bco/6Yvq+ZAuogsjumSZy0ev3UOD6
Yh9V/fQ9EqVZnIjEmJYTue/YrHQ7ZZZV0RDWd3o4U2imsTVCL8cf27W1qDd9c2qcx9HCbmXXY883
+rZqhfIeli52cygpnHONel8qfzkNs6CUw1rsJnQ0k7eESyqv7EQQABwMc3ICjDdmu5LnZMKeSqlr
zxb8RNsoo59R74zVbtRn5kMlzfx8e8nmZJ+pM4eW6MWs8FValkM2tvz0CuY+/uy2s5gARTWDyg20
Fvi85MY0n2dWBi946CXxGa0OqTcgKY2X8mTENErFy8YT2UDpMl4Q43NmWOUlTgHNEmiinG5Vdkoc
Tbo0VPdOrNniZEnxQvaiqtSak7EZU/sqWsrBDMbZXv9THb6Nu2yOGfm4yW3pZBiHlni2wvvmLEm5
4Jwqo1SRPhhD2fSbxuYAQcMHgApzLdnwsN0pxWnfSgwkeJDKM8doLAL8TpVfIfjXZjXGQN2ULkMZ
naRJohi+EeENGog5kqugwTj4QcSTQp2pVErnssCl1BPawg3AGqO5IjSRQOPPIMM+VG0bhqfYajCX
ZoJ1ID8HTbORy3eWdqJDcf5ug91s9lFKxebpCMc04kZT6vGlrMGD/hQBhtXPsJJgGqPGsJcbgV9t
flrxDGu/GtXq4IFPwN0YmzKAUTH24T7jqXuqZS8/omIpnVaYobJQHC7YzI6kBtIrJkvzZ3wbnZO6
wYT9k5ZIyn3pTGp2xgw0UXdhkQBsqsb/KYDPZD4iMUh/Zn1XFv44FlmzT/sVzVCCc9Z2ESiBb/aE
Y46vQSe/lCatXE8vudiXnUQXSvwubom0hQ7eAx294XmAF2jYd/VDCFO+cxeLucjlC0eAoKIF3dNl
FUcfzFsaaPSS+i1acKxPqVhjSusz+3dLDCjyF2RCJpxsnUnalg0rLoUw3zL5FSZyOclM8AgbP8pw
J4OZZFVo7f2lH5vP2WIXrVempsT1tFT0e8YV74cs15YAPHd5Vo2F1bmmMqVfc7Fwf0iMRiaBCdSw
A2loaw9pIqemC9aTrSwUCf52SVKBvYSUop/ahI4ULyqWBe8nQ3XA+A8WN8qBIopb1Isam2gfOlxR
teqn0+BsHEhdp9/aoLXxqih7rohqNE+/KiubLT+EaNB4oUO0xJutKH+mcJ7qYl4hrbxLmzH+UbdD
V0Cb7JokwFNy8JHSjEkAgLkg974I8YuyHwm7PCnPHxxzSqmhxLr1otFX579+MZfrKB3NL8sCptdt
COEK6jpG5b6JZbU54YvrqjuXerebR3RlgSS1feK3mWZ8C+0ZdwarUQpP7noOKZOx7YNEgetP4YvU
fmK3rwsvjEV0JyWW2d1MDU/2ACfEEgQeugkNH+nWMN1hSMvvmr36bUSDeGQ+46EnBsnwcEaUIy9y
xoSaYHAZPUMp6aBByiSefJC5eJ01Y29Ti63U/JJF4WbQhCu+FiVZt5DUtPUnIMGU1rE0w5+QrZ3M
G63VmceutPOoMbA7VnM7HzD2yhqNO1SUpbsurmT9ZMSE56Id4r7cDZnc/bS0vHKCMcp0HcKGKktc
IIh4e0M64razhFH/KCWqDiNqnFW/sJol5q4FG3+fVeucADJilAHWG5gNTr02ge5uqS8M+lRPP1mN
jX+kbg7jj3TCm0HkUiztOgsPKF5KYwshvua8dFt5bM0gs2XxCMWTzVAf9f62HXFD37969f/1pH79
hH4R92xe0EQJ19gTpRuEejZBnlkRaiJNUewr+MbAbBrs7ELLs/Qx7pfmAQVL/lMzQiw4qKHAPHPB
KnzCskDOR6/rCgsXl5DdwU/aVv/OKx5LqY9/4CYItb7wIcaguFqLNBD3bIKK2qw3BOadyB/DOLro
UKn72PvNR4JQ20zgSzOUCZGFWDVKbxI5U1aGkyRrMftobhnfbSKYHOcYtaB1bLJM9pB4Q/Xn5T18
X7rJuK8mNUaDnTflXWV04xPU9u7rlBRGe+QLbSKR//xlsE/AW6zMq62SDuouyd4wSnzL/l7XHU7D
NSVZJ52ewGFciu+/OdwvUibKEAgZr7HINVr/KuZHry1dAgLqGU0XUdwLMR1e4bH84Js+cbWXEeNT
uYwWkcKYw1Z6nASHomJVRZjXkm1hzV2lzQTHbo7HvYaX6e9lmFagAuWj5DOIFgF21TbdQvmYq6FU
qx4IEp6mI373sUhTghTj6H88gpt8xtqUgbSTiOmqIyXfeti3OpfxEQBTwq444CLRYNQxafDRM6dp
j8zal8l/sHhpi4zZSxH9GqfdJLOctIJ0lRYaHsBT+bVoQg1/F94x2HILzAzqKIHCrxGjsD2I48Ps
1XVUKsGI5xiOjwa+V1xzl9AE0TVG2KXhd33eGPPyg3lm/pQ0kMiYhBi825RxCR+E2afHwvlrymXb
BTBoL5XekLyMTfg3zcxGmfqRLyPk6lMclvUe5yicDSQrusVmCIeZsU+9tJi0czCAx8g/78xEgm8E
+oEMqegSN2F3CtqcrsNQlgtrZO+lBSGpbrYc6rKkEUKp5JuPZ8fb9sgUE+omXUwp3RvZHjb3jtRk
WoiFsmzx0jArL18vnkrs3AyDZvzu7rkmpl81t/6cV8u5jiaANaEecvxl+kmWl0PQJNgdfNypl+Lh
w4+I8HFNyOCZRNB3W9tOSLOoE9uM/G7Wkksjn4ybeq648mKjDcUK6xlFnb4rZpiFJ3GmKPs+xaHT
zxqChgRtF/HAgclLgVdJTvXpVCa5b/W1ofgIvRbIUsmo3ztOhG0WSw9LEmKYyl1tTC2XMFxGfpdf
t9boE52WkQ6TVn/DeRsHCxMsE1TerE7hZ5uiSuoIVP1IovDN0YZMAe2yzLkjky7bSjLyas5jE62/
N+caGH65Iog6lfU/RfX/75Ic/x+mLzQoE+yb/+f0xUWCHcrf9s/tUyJeJzD++ot/JTA0508WNlgo
sDaUK75kKf4zgaH8uV55VkaZvKrH12P1XwkM/U9qdjmfkEKvOKR1T/pXAkP9kzJ9csfUX/B31xrI
30hgEDle97fDpUNZvrNKElBGW469OQoHPH9bbt/sfyTBr22DOlHECINriLm6VHP1kdqdq9lJ4kDp
eBgVtuxpeL54KrZYpdUrT80yOqepnUS72mop3IuG2MXTk2ht0RNCgx0UaGMaAhfQ79BYQe8vqvKS
zTA5j3BfcrUuz07aJm08GBhpIEeYW2KShDUmnK60j64bEc5QwtKrIe3rXdzNt8Rx9sKOCEDFtgSR
sH3IWmlazVQ5bcqWzbTFBy5pDHFfz057jhtZGBArSE71lCxNObX3+BaLT1ib6z+whxa7osXq0KbZ
fYZvqTtjyvLUW6X+2c6cJUh5QeyS2vhpxOUlLhHRXjY6E7W/OfUMCwR4hfTfCYsp84B7f6MOtD6d
JLu9TpPI8mBaIf2ZVHtfzfN8CXjzKpKsIjAnSdnnCk9AnQrjxwFtFn6gvKq0wcG7TZPqL009fhbc
zHfd7KRXQhcqgaK1IL9icxCW1AcZjuKu2es3k1Qa2DZjqIfLb4a554S7laiUQJjlbgZa5mqqGAMi
xJTTt6XmE0gMUr2wzmK7vRzsJQ06Yc8+VL97UFgSiFNedf3UtmjKRXmamFSFyW2NZ2CaGrcVvuW7
ucHvl7qVxqV4tQiWbLxdOgUasR5nhBjz8swIq1NsbXXqH+uFdw0QKQQ+zYOyoFLCjbDmJaw0a1w2
XrAtlfRTnBgFhTbh9zbt5aAma3JrS9IXrufBaJrTDl3XbVHP10TJ0OQlEsZfNtYsfaw+qF2PCjEn
pWPPPbGD8kHKzT3R8Qc9TJnX5B5cJyJftQztGXEZVDRGinWCMFosIXPsRzE2gRI3Ul+XhgB7urpt
7yJLx5kItwnb6R402riLJaxLzQKvnUW01700OW4rjPHOIgh5rozdY5HN9+lkfKkd8StbFlyi22Ff
V86luZ6IN8Yk9b+UAQvos+UljcHDsis9URn1dArPeSqCPqlK6xNOfvjy6q1NUBXj0UsdTgDE2bRN
sqthCYur3s6xwfRkPbO/dFJtYqdszgThyYm1eu1PucOtyiCN7sKkgrAJudJZvCjXLdstm3CugzjU
CDDoMSHX+zLTAH8R8WosvoUSo3XHMlveLcaY1f6QKNnkzhHJ9IsM1PxVWdVRfam1RLTwpG7U2lZ9
gzXQ7LQkiYugGMuK6cF/P/nZVjq5QKI7XYQ7RFF/wUfDvJl6aJJ+vEAQ8mRLArZuFliUuqoZjd/w
WBgi3PXs5DLqIKjvcYtZzkI4BhJ2hdYaEF+Sooe1jRH56YR5BsudlGdz2g9jR1G9Nqv2aTbqRu9n
nKN3WJE5oW/OTdYEupPLtyaRk9TrtLqMPKtuiGLFylhqu4xoqnPC3dUySDeNKgbfGC8va/RWJDhP
jk0vO5Tqh72JfWJMmMZWe6c7kXB3M3yLkqN2pyK1bHYLlvZYrxDdwIvJyBzkE4Sf451N/A1QICE2
x+uszrZcA2D/gzzMQvKnsK4WD9t1VhL+SuJM4I2besBN5nklzDYND/mQMIpiLRPRsbqNT6s4JiA7
m4l4QBdM/iNVFpwH+taObwYqbVXXUQqyRBGM5O40tzKHhDOknu6yEBaiNxF1S3eBl2MiXbZOmQAj
kvpovnZkYXd3Er4MwpcKQz2Bo8sHrlRjyE6zsMSXyqoTPCnyVmonV9Wn8UkV4fJcCT28JRvCgFRO
MjsBVHY0iebczgMaoFYzfhBn1a/J6VK5qEvzkz6OOHyaiYaHZYY7drcrOVv/F3tnshs7kqXpV2n0
ngGORnLrdPoouWbdYUPoTpxpxtFIvk09S79Yf1RkFaoSqAJy14tGArmICN0ruUizc/4xjCTJ6vZx
9chNvWLqau1DHrrKO6UBl8ZTYo9+GSsd0oLuzF5ZgnzTcb8j4m1+GcU8PHTc9QfqcaZT5a1Xk4bf
azl0tFg2Q/Pkpe0tL8z52JaB3mfanw9jn8qHlMqenQpN/eArP9kB6iFvWRSf8ZTpDyst1iONfbe5
E8YR3RE1ynlv3pFqiVq4ns+m4GVrkmoAXqa9Yp7Tvdl6zb7tVX/PmrjsVmv0dsIf80M4WmT++Rsb
HyZH1eE2dEorj0vaLGPKUl+qdHpKHYZoxf0ZrU0O24n0qrsvljIt3zqzKo27pHdPlONRd6YGHHYu
vp3v0GXVfATIfmykUBdIixaadPXOMjVuXivWa2lUx66fdwOrYpo099AA5v1YActNyYez1oS5VvJP
p0g5zsa5OWSG9ZiHULFmQbBT3wfwOZWgH3VIOBPkY7I9oRTA0+wZ0FpszMbWXEWLOAHQN9lKHS1Z
ckhMVBClcn4p7X2FyDQvwMwZt6O4Txp/pl1ciXtUbNMe2RGlndI+2YuMDas+idVyTp0e+t9i9SKb
1rG9Kit9ouVxoLh+MCRKBa7mQvlfYA1eO8sczgsPxN41iOSlMzfcDU73o4e7GfbePD3T0kvb76Zj
W+KB1c/mpmoggZXqkr07jZwYfuhcC7pIj+No5C9Daq/B2Q1wgZ4zL5x/Uro3Fhdroe8jssLOrr5k
YvboyaNnfT0SVbuI25Raw9U2LDLk/XA1c7JW9ZTGXV3aHiiO2jr9FiIvn8JqESSc0AJKE6zXUMZk
TuYxD+UaS+o5p6u7mqqkWXstngq6Sl8KPyGYb8p7hP+1a8nfmhFMHUiJ9rzHISNtaT/mC52sBKip
5lpT63KS8ypIaiv9oHFOebZa1oXEbMgkXdoVgdl52P6iOivTUKBwASc9mAMf7GR7w3ns22w5qpE/
6CzSMau5vG1bT98aI6s9KBeKmbpDUXQux7SNIOWcZYbnU1mYuMVlKdUCKwAW2l0au8lzKIuNFA0a
es+upPCV6a4QlZUyh5Ak8WX16TrF4+ymeR/ZaS/6+8ro+TtbJ2+qR7GYenw0+3Gmkqo3jDWJA63H
55G2AGPHut88hWa3rrFGQdc+LQw+3wY3m9wHKfxljbAwT5R4IqvFDQhv7L/QjOUNx9W28gBICMo5
6rJRhftEzJIRkbFKnfgueoi3TAfZWZi5RzMk8wF5IL7OUzMue6u+FFBYjA4DkgMjDYfsra6XDTuD
dKpA5L3GeLbX7ptXl/4pMINTjqwQGCVsD1a1Hldr6U7GuA22PTeRH9LHycmLUigfX3MXxBxRzU+4
5h9lTnEILlfqHZkYoezB5dKfKUJqRuQgof1bvulBXGAoYoa3fWgMZCs57lZtv6pj3auT5beK+ydM
3wqaKYnUubcEqkZZI3rw+hqZPD6FnSDORfCyHIThhmd3Y/vJaryMrXzFV0BAsub5aWB/xsTYW3J8
6DtPP/EBf8mKItvNTvVgBuVlaCGYKLruuffaC7BRcUpG78xc9LCRit84y+abN+D1zrOX0WgOo+NS
6lqRotk3X63CIvC2l8lBijCikui9atVjH46nzG5+VIGs916Tv9Bh+ZT1BsRv0s7fKQn8FnSklyqV
XxACtSd484tXZntnVqjmC5XB8qRiZ5TrD0sn91XrvQz0BO4cf7on3EFHJFq3d3lAHAWN9IxFIvzi
tiaGAin/rFM6wKNYLCwDP6evb1QCXCd6VIGP7kVvPFV18b76/c1ZJD2JTn4RSfVTjUNxqPvU2OWJ
kx2dDEZWt/LrFosfISyhQnSpoJ4rpX5MY/cymv6zhVU2StPpPnPDEwvVoU/H60jXLJeegAPvqINr
eibSkerwZQAJsZ585fBkaPVYhN4TVMUBq8D7RN/jzrT7kFd07SIHc+xuCYav3Nebqqq4Gw0LIwqQ
FPPuV5kOh3ZpucnJOY42D+2idexM6mI3VAwWRl8di1D9SmzQ51QHHx3KKyfzEBWElzVd3gP2o1g5
NsXDqfdrDpnMN/7X6XTk0Ds8VSENqngTj25efS3YiLhgUJdf3UF8Mdd2/W0KY7pL3PyNnKHhBfww
mkyXPs75zDHA7jrPcUrDa1cvb2VtXpuVDEVkTo9a+EevEXc9CxxDZlz45vS+jOPdqubHku3q1vr+
i7tJYtiBTc57G8lcNwfnfCyQhKI9/K6rYL94hXqmj8v55rn6nfK9ft9PNgQqjZkHSgy7yKuTx6yV
KhLhauzDvrSviY2uY+ktfj0LhYKH3LWXRwytj2USqChFO3JF9PAToVZKd7PQd9w4inbHxYrXeV5f
OhCiM3+GnUYhFOhuQTAf13nxG7YugPSZJBGYSUuMdzge1tHrhqM7Oso+6gllyI4rd6y/lPAKMPBl
D03q6il5cImiR/diDoxSD6xySAN6287HMyGHfJWbZOaJWb1Q+6GzsvZY5lNfxOw+rsuZZxeQyhC0
kJ5o/Gi5l0FPSqHRI9PgR+qEv1vDBYbfKT3+bRCMG5FaG4ggxgLuVIe9gZhm4p/aSEmKOwg7zANU
uc2v04yQYl2AxO+mGl/9HtQqvxam5ltHEJQ3NEYX2qdUruu2H9JU+yXbOjMpKl4xCZBIC40aWoqD
YSniefJW5tpO8qMZWgBuGVof0n7OyXTKPacvIUI9+54OUraeUNfM5UZeM9eikJa/kkRNl5HtKkVQ
JMoz3Ef6VFpI4K6G6p0/Tuq0r8g+Sd81uAeZbGeUw71i+1Sz+eFV69fUdYrHvh0CPjgZZhdp62A6
zKtNffTU9peBomOqw97ph74KK7j1xqLqfTfY5n3tz+G1qeH8Di2ESH2ky7Y7iLG5dY5xnf2Q7Qft
6C6dJuIUEJjGBaCM7HI7Amk9VJTYo92ip3W0Ls28Prq64udv18jJxJ3dy/3YcmPWzngkPuHdYRW8
Zv56Q+YQzZ2WUVeZhCga9Qew9HLqS0QMY0CmTtvXN3rEGTC9VlP2br8PVb/E9Sp+cQ/dZneG73Re
5kBkyZm8Sjgiz0mMDzNswpdkMe0kXvt8SA9VPz4DbyV3RMZanBZGqV9TqXsnRnJUPSP1KS3q2pXR
xBY73bIHqhbDnS+c8Li6aDsjWbhIexypu/LqCHlvZqhDiixjCZlsghEpDLd/9eZws0GEElvuB6Nv
y12j5T1F74fcVD8Km1oGLVENaHv9Bu+eHjtjU6tqP+NktA9cRj9rMAJGj7BF00dfeuQE9jM7JNs/
0Q/UNeLqv5fN8hVE6TdkLsresDQ/XE9ecnOST/NMWGjHgXnsEmNtXqidZ+QLdOuIR+kioNyl9TZ6
Tf1iXNnLw45aNcV/YkpfIjkQuvhgBeLTGU3OTDcXjGKpiQI3NtGmcFLawVY3UlWbLqmuR0pcDBnE
QeXx+rupz0BXUB/zRFoQqglZ5LyXbpnPrxiREl5dQ+UV4UXJmjHH9AGij7LWvMEpcoXuvqPbtX/u
RsS3O78z8h4DgJy6OETYhICrJyrqZ9uE/tcF/Q7GeHcyYrLMNJzxUjOo4iLY5kqSJCUqzrIzY28q
uBp6x9A/VFZ6xqUZFoJPCIfMd+SQsKOabbqzaKN5QTk4XC0tyke3d/w/eWu2lMhI/1QDJDKhD4B5
Spk/pQMKB9EEw15Xo3rzg0xTzLM8qqWfdnVq9md/HH/XEmJH88QcknH2rYtq7DaytYo7aQ/hJZuD
aT0JO+2cp2KhwYPXPeAWABIsh4iVNCwuOkSFsbdovUivvQiUOg5MqL/aOsgJWTSD5U8rUvqv4B6J
5h/KUodHBMdjctNCNpcCPkSdh8adckRlte+cS3K60DqPSMKvJGqxqJQtuHFsCG4J8o7NvAB/UUBs
ee0E6UVVwLsxHA4nbdoPycPWR7BE0pQuyY7B/LWF4nnLltaMKMuqoqGorQjt6XyrHHN+J57vh1yd
7mzmNXgSyM5vN9m6eczUKz60L6oj/nY6nHst3LeprCx715uesWtxTl3WdQxfnDJbTzz6YQgGxd+9
hz+bdGQ2mT/fDdLI4P8KJ0nre79Us/XSFz6ySg6VpqUxCc3dyflUlU0z28q5tJO++Fg7FDksgagT
WFfb9bFCgTl/zIWk2pSQ3cV79SYTwWXXmai1uk8VHPkT6Dm6hmgqrgDffUON1TTPTL2qeXKCJe/e
ioUSi/OQYCUjouJTtMd8XKzR0PqhjIdVTs3eDprQQyxZyHq9C0TCZ6CbkQEhQVuZnRpJwfSu7oyy
eOVHof4YPH20DpZZ8oumfyTNnqpedi637Fx+S6iaMKhjNw3rj2e19Y+c380flmyr/or6Balxn8l9
71RopOuMHtMfY1qg1zIEJXY0e5sIC/WnsBJ6NDUfkqoZfrhoeHTMeO8DQVKscs1RxAaHts2F5ldH
xfluSGXYxnNZKrY2TGxEMG+a0IQrx3pktuucaJyc7i41wsk/8Jq0xn5EQYt8BqUwqKLnhvy/26yR
NZuriJNNocq6g2BKo9VBttJZPJ7GIuwV6Veb/kLHm4Q736Ck4MJJZpD6iRuBE2JIOMX6sOm277lC
KUZQGWeXSkQ/30K3ys4j/CTBHZW/be0jhgVi/4pCxGRgmtMegFDxDRBsUh593qzbLKoqfZixtvIO
oRKjrAzk30jrSXy1x8z/hkHAfeaMYOzzlcHh3vrM+0O2bwcmp1AzX8Jo5D+mLs1if+jG2yrb9T6d
Fue58nIC0uFCDxo5+i2YnHM7DPb7IhKSaO3+ROjeHCegnW8h3+qJ6YK5aM1VciucFqlkH4yAmMhX
q7Vt7qU1ladAdR+ZRTmdaRJbLj2a15fEWW5dJeYdla6EmdiJ4BRM3VuX5O4lcA0rUp5zNoL1dy00
Bs/F3vmsz+tcmxCBIdMOpGPQ9eRCgMRSgVy1LnB3goS7zV8WVV2aNnh2AfV+TtP0JrvkjCRB7SoG
kP1IRO1LMwR3aajuu4kKbvi/ox8W1IjkfpwiQz8QQ5K+D0Hwa2qSENH8ZF0QsRrtviiI+9I5nwOC
N+FVuw7WBijHE3+nJf5LZOF/63P6L96o/9E39f8gpYikx0Q79D9Qih+D/F/HTrK9/mdG8R9f9w9G
0TP/Iq8ScA+ZDDYmEqH+wxIlrL8AqSDyaGc0N0sSUoJ/ZxT9v7YWWq4NrH1bjRHc5r8TilbwF8Im
soltcqRpx3Ctf4VQFP4/k8omXQCEwvE/iHBL/LNcyJlTnD2FDKJh6ofqlOQdjpBltK15Lwq7fwrY
vznMi5lOVaNE/XcWoxnY5yBorcgK1nZ8ygIc4lEXFsaucgZcHrjSYSp64WbpvlqBUI7rkiTBg82+
x+1uzwMlrXP7ULOumZFVwk8M81A+jUuTg1KqsW/2mTGhlxql3a3f63zo84fRrIZfNU4TuYfO4EKW
U9jeXL0Vc5HD1X1LsD6/1it+bJL5JYv2UKMFLMLFlLdiTubiWHpUIzxkY2JD8/jTypxjNs9WV1r1
0SLdUHecjk7NTmlhemoqmsXLNL8LNWUvwERp1XBmWDQFcR33NlaKJWQbN4rCaphLTFHcaZ+1mGCs
obaONQrdnFryYAkOFVYw8ujmpZtulXLmcL+0CslYUosV+MCEOdqPuMOHA8zSGkZ9bjV1uWvRfrQx
prKOCvrABDOSUNNOEaHKdso7F0vycjWsbHR/dnlBb6qTEzSO6yip4TGdZrEf7I2njBozWNkolqHv
H1PMZOtR6c4xv+OxqLx3TsmcDTfMspBSkqZ3H+EZB/txqrqQGz4j62hTFjMStqHoh4ufTMVbxb75
MdpV8yXB+wrrmthBtVvBKnfIWN1jWYMM7LYIrDjzdV8weWt3r2dVvzgOTnEG1dhfQ35kOwtKl/kq
yVQ0dov3MS9G3j5mY60f/Rqsqq4xbMyJo/pbRh0c2wz6focQBXwgkRrCOn9oh97sDn3ZZPnOId4d
Ee4YlFhAxi4x4yXvc3HTyzKER4LU9HgYg64OqUap1vFxXbHMDbtyrGYokXlCqJmuw4af1XiUDljp
IMeMsfroPNpo8mZJ5a5dzM7jXJWBES+jNiMVWj1q6SpJ5UWBUZlnrdn/29qWr9SrUxial5PBilIX
aR/xsszuB0xseEhmZ0RdJclw/Y2Wd3EvbR4M5mkMJq3M/eTpOk35HHNdTIQMCmLkKTJwfOUlGI/I
56sXdI7OmlJqSDxP4u+JK1y/YCDrdsrrJhmF/KqP7rB89T0sXOtSts+lkRZn2S94x3hMTzKVS5w3
E020NiY2BRI0Y8we1cBtYvp5suzQH635zm6hksjOS4qbPczZu2Es8zdyTquTE87zoR/H5t4IRueE
rl7+xODy3EzKI9RcJHEoAwgqr+l5r4u+yiNHr1y9TH9Q3EMRKBMKprFk5CQK9zTCcaeqkFHLpLzY
fq8fp17MT76r7g3yJHe9VtlTMJbLC0RX9zyRTkv/TBWae9LyNltbUiw3qlyCOx9GP57zNYGbFSTh
FiuMBK/EYnwh2wHAoHCDsYr9uk8eSQFZ74wKRh6tYf8tyBcMTzjbavZUwLB9vwFh2STNu9lqkSq5
1uyXhF5a4CmO8muypUOvu6XpYD3VntTVTjnt8rsJXAZ+jI5lSdmpSOhpVIQAH6yQ5yWGxbOWXQWM
jtULgwgJL6UljB1Ghdl9FKIiHK7ru4tvlua5JUIb0G9FGhz3Utt57Bvl8jpJh8jXxENyzcNpZ90h
NbVzUsMQcBaT2UpZU+MAyot2HV/XVllRr5xSPTB3N9N9O1nGuMsRgaw7Tyfuyt5HVfBdXVluNHtt
mB8I8aXNyptRi2AbRTzCy+q67aUaPKM4LCBDjMPdW5h2/fiEM6VxzyELanK/LQrmLkDBuR6SEPTl
qYAN3+c0H0fz2NY3rbkni1M2Kc5wWOfQ7cpz7hAbbiDMZp0BZSzDX7NfkA2peiXqh6S0Sy6TcLaq
WJO2PTwVxsTeIpMBj09agGgfQZxwwxiB9M6rIWiBxX9nHPNlPEy+PK9o7upYr54V0aunbt4Syn4v
ddEuh85O3O80AOPO8ajFpjLRhtzV8yTPhtvrUzr2SQaQ1+WcOUDI+BUQoyyR0eAFikqt2wezaK+0
3ujsWnlLFRx8E/D8EBQl7gTVCxHEFqssY61Z9OcOhi24X1NoztXQnON6RH/yBQA6iEs5NMFpTdAz
7/ppBNzDSBQwAQIJ0wyoD4bLf1Wozic6h+qWp4KM172pW74KQyIKua9jJl81qkXutXL1fg7jsFy3
cBjr2NXFY4LH4JsEFhohsXlGdiP13/W3VWaYCzmzTdQCFeVYAM0DK0+7ev49ZoECPEouhjiaHALF
gcBgtxFRZmfPq0JRDxjEJF04CDqqUl8qRLS7DZ7NpqJA3aA/sPc+T2n2bAELXcyx/2riAqaa71ZM
zq/KNGcknmGwWzwSXDmxd0CTdyxkkxd1cxvXYrM/I4uYx7GUJ3Q0s+D8C3juQ0QuMw+rGdmW03rn
bHb9MV5EKm4Kfn3rGcR6UJ+s1Zh6TGFthSxn6PofQpuDd7Ksof4hqwnTCyFor4sVZPJOJEshznPf
cK9Cz/tUFneYvA8zWQSAkSP+h13nOs2znY6zcaFrZMxisEKSRaey6N/WNsfO4fKqta92W85vvRQz
FzWe4PaIh3Y5OowAYoWPENkN/UCzHLsF7TFl8/zRHJfVqddGP8Vmrfkbm8H0f1ZQCW/KheyLUm2Z
v9dMimfbJbsp6lqZRXkxPSb51gELyoWRZopxg+3DyW5f+FSzC2d8EU+OphTcdltuvhzqYGoOSWuF
e7Bc/5sCXPa13bXg9yFdcl4Q2k8k7CXzPgzb8mFZszcY3qqJzZW+RvQ+oK8AcI8+AfveeVyD6iSm
cIzIdr1N2KJ2i9TvDdsw9r4qUxDjSecVbyVgy7XyFxShUITBu5wQgsU8uy3oFlHvdUWwxloXT8Dm
VZFF8L78hkCAErEtWzXgQRsTtg1SyoRWp8xzREc7Bn7lsrA2jRJCXbwc9V7UlgzY8pgbvwsZTPfk
lnfBd2kO2RcrndAo1UxjRDq2MJ/HdBb61cktHmdT2vkVszPeSVnYWISaJBNIoqYNEQyNd+wtKgar
Wi268bj4WuRmS/JgDAR0sDfixHC6FeaUvb37urXBdVGBwou0RWPNVyAAC8ywc+vALbna3DFh6lHW
a6WgOPYchbo60hcG4WdAHGQ7hcPUOS+pMz3Xss7lIcs6ZUaNz/wVEWuQ5LdMNGH2qKbSiqAKFvO+
78OcXdnPV/GjwzvxgP2y+41FA8NuwrVRSAgcuMyuXS9Afdnb5AzGUbXG+ht5wPLsUSAZzTqtUNyZ
i494zh8aJx68aVVABn519UbXflSVE14HXTtl7CmgnEOR9+2F1bU0j5bNpvRQFrnO4Fkdw4JFnNJp
N60SXVwvuj6CeM3So98W3Xid24wYN5Z6J0q84qXVHq/comASOLjqt4lALQRQQ+Ld+TjvdkiOM0CS
vq/PdNKFivuh5YAiMYiMWpB++w3MsD0KwlCbS52P1YM3Gc5yTvpwpkhGFR8D45V/7DwEK0cKKvV8
tIflsKZ0N2rrt3KzBVss9q2+0KcSZAskyJ9vZudnPj9Dq8LT7Nrj98wzzPVM0hc2rTRXB1eKVh2s
fOmgD0vGxZPNV+4Eps87GYr0Lk1sbtU088ru7LWlTCNvykO9I/VakSjpeedCjs0FJn2J7KR13yWs
w7LPEI9h60dwI45dF7qchmQbYOu2F5/XR472vmS2Lm+Qeas8GV5C9kXdtoQI+F1Zp3uLh0ZEJcZO
4NASb9W0D7IWr6ZZGxnYvlUK6076VRBDBej11JKWm0VIXVsUmmFje/eLcL2j3bikRRoZNGnI2IlQ
FJcZRuBpCg4Y+N1nhKpyB0uaOLEVtv7L6LVJCaOOLXvnzgIp1rQAfjpJfp+6qr1WuTUT3A1bl4xh
/8tvHGK1sWly5Qyj83dU//9HMf43L9PWsPbfoxhHmf+ff/svkuh/fMk/AAzX+4tWduL+6XsCIaD2
7j8ADM/5i1Qs+o8J4RGAFVuY3b8DGJb9FzEMiIJND72xTXz4f0Iwwr+wCzmo5cEdLHbg4F9BMP5O
ef/PimiE1a7lULWAvhoN9j8nelvY9jdjMKOHL3W+A9MFstfD3FwCX+jkNjfjvG19DceWkGVJdoLu
1z9ch2Bp/cYGYIrp1NHzUC9f50/CwJwKo7iUokMRBtCB+qExxFo/5YCjzlP6STwYJgDEJWEWsWbR
Rh5FrEfiWNrqVMELxvboYIOssjQKWC4PXqj6aDbnX4iiKYveWI8F+e7FXYv+9wpq8rMw7JzSjLqJ
g9lRp2wjT1YLpzcXsxiOpHsPV7RF8oXqu2k/e4RvAHRvTAwEpXEZNoIGNxZcjf7kbaZPDgdAGD4H
9glupxR8KlGV20YsBClKO7URQWIcgvBn8skPuRpYIBafvNEEZrQd0mgInom6gFsqPnkmjaarBDtP
bAgoTFKwUY43ouvFcDy/kohUOwceCLir8pPGWiyMvP4nu9VsRFfzyXkhw4H/Wv/mwvoa/bmxbhyZ
a9gwYnSXsmZJT86vxUaolYuLnbf45NlcCrlgqDb67e/chuaTlUMu5YlH7l32U6QDdvMyeY4+DguK
tGwj9nzto9XxzgKE/MtSb3M6i1g0GaUJp7yZoEgv7D/wmLx1fQB/yoZfRaZDPE6WZEYkN5KxwX2D
HAb5lzFD16Lh/SlqCs/KjZkkR+FPtmbn2h2eFp+HcgdKzNKhd4xoN/VJcNYic7Z+YvUWFt0vvy6G
8qoT5AMoK5wyiTDAhcfwkzu1P3lUp5AJQROf/KqWZfWcfbKu7kbATmbGT6sQx13aMvxp8MmmB/Au
WFtrI3CrcUh/zJ+s7uC0BQyvMf6UpRPJpTl0k3ciG+NXRlYOYS7FD6A2pjKBFCPL28PoZddu8O8q
LssoUG5zrsfqtd945iHP3EgJSJLiuTJUcdVW8Acue5/kHioPuyJgfDj07ZJGUMh7PZqvq7SuvZl8
zEEQV4Z3xJQMk9nKPaWkVWwmQbsjl6nbcfmk0dRnd0Gjngy3RIVhNWlzXDE8egfEhuG13fj2YJkY
5nxIeMgs6GTnfXTLh8rQQCGNX+zUJ3XvulWOgmkj9I0mLB4FJH9YOB+oqKD9Ey68Z4PspFnMTXl0
N4GA3wTOn+pTNYDXNuWhccTBXpxvdWahcjE2kQEOIPmLvBGUB8zvORkttknddjhzzwZDY00vwURz
OYk2foE8PaiRkdWtcU6ZJpt9rz01nucaxehs91Oon8dhTdR1RAD8Q/oO+m1rSV1vj9Js16flkRic
bj3Doi4NGgJLkekR1MgimzIxsws7gbcOd0bmltQbTsFS3BZXl+4x9zo3vCZtV/Kb86wO479CcLVL
ZlR+GMHRnR50YtnIHz6VGCHaxlNnpgSot+hUz32I94OZ0r04nyKOsVlqFB3lp7xDNs38mqIPUx96
U4HITQ+CuwBpyAimVPLra4WItLJRj1QuQpK0QVMC18M/dT+lJuan7IS9ZYskGTY5iswT5uwUvGuT
qWySFZnOVnr2/9ayFJ/ClgxvS3v0PgUvrqvME3EaDNhBVZXjmcoYMMrScGT74Pytm3E2DU33KafB
pU+4BepUeHadKvzpzqf8xjGyYTj2XXjfE/LEvFWToQXkNimS/NRCXJbRiCOO5TQW7Th+A5h+sMz6
C0muj0rLuyrdkMBSP2T2gAh69YhhoVOX3WP+KahAeaIkzjimk9vusXYjzDet3wFdZUd09B6oSrIe
aAkrvptIDHZLLtMDSr55V3WM0qSRzJnX7/MqFMiwh/xcon18BCzEfUhmQryYIgA8nG951o3HoACA
GqXhRJ2L8Iaj34P05W3NuqF7oCwiiFQS+jevrINoGqvmngc4OVZ5VsRJ6SJwQ5VwZ+VIn9MkfLIy
gx3VHad9zjdxpkf1a6MKB2gfUVxeBzq2WzUe15AWwVUv8zEAPD+O3vJR6Pa9baw00om49RZ1bwCm
7YUJznwpGd9tR2T7ylZvjazMC4Ls9QTd4Vw9vpBtJc0PwpvFTphkakg/naOM5/xg9cEfawyupgO/
1fKtRBaNnd/XdEyRNKcEJK+GtRcqq9/CARnHnPCjJ6ITZG11zbHKRvNJKcCqAMFZvObM/JnxM+Vm
qEgOa1DvlfqWufb3Hghk5/VJcO0EHMUuc7xbD2d5Ja1r3FUqMaDXRBH5oqhPQNyoIMo8719Iuyge
x8m1fyJ/Kt5Tf2Iatvp+6OJ1Cdxn6FrvlNX2THYY74OlUqHjCcHWNxpWSInCfdAdLBYP/ATwmqdO
FvXXgKQEbOUzreu8z+twGPWAEYeoM/tbkbXDlbBZ0jN02tAmHrTV8mKJtHmHjK2/dhMwSKK6+pvJ
QlEQ0jQHxxWS44n7o513WTa0v3mGKn1xWMvPozTHd6cp9K8JWTqYT1Np+eFy7vLIWulTZq3Wo716
DQIqbOZxWBIORIqISRzFuv42Qmk+BoiVL57dGkfYCeNeMGihyEuVeimFw1LoZtgpL4Q+fWY4uVuA
T4KTlaicbhMns4GRU1uTpofgcP4lFrt8RKCdjG9Gi/ADMCSrUiOeMojuHCTXj5fBRhhjF6m0f5bk
jLr7oMjyl2TNeXrzcUBoMTdn0rvaHh13bT7P5mj9oFuzOnDn2fuxGU0UgXoktbYheRK2fxle6ixE
TjUJ5ewVsVrtqR0r4to6IifIuAisb32pwMuJsPLPC2hI7LND31hobCL5iOd5mp2u/WFy2LHpy2Uo
+D6nZThMbmE+TXkprwxFZr1f/Nl7GGROkJR2yRPCoNGbP0p/IuQl9CDOSLgAzmUA+dRDSFTdXAzl
Bh2wwaW/dGAyN2kvRGe0dZdPBxIJrEtnVNtGOf1f9s5ku24jy6K/Uivn8AIiAt30Nex7UuwmWBRJ
IdAE+v7ra0NOlyXaKVdWlbIm6YEHsqnHhyYi7r3n7MO6nASci5PZXxhLa7HzIbXg+TK+Sa5zsby6
rX6kp+dvB9Wf5LTyI71wzZbYRq6ZdQwAbHZuhXJnZ7nhqWcvV1JzqrKDml9+/IzHyYMUwgGYF2tO
d5xzQCHYF727QO5T0rC2I7lE6JhxvDywBhzoB39XTmU89gcl6iisM1YHEbFsOdGUzcrjAnKMIEEh
AMpPcFLQCW26ib/Pk9s2LhDq9dMmmHGxjO0kd2VNP1RxVtgA0MUHwXGeFiviV95tlEeWB1xqKcqB
oKR+WLbhRG99awlVUmS7hgFX5lThmcajkt43WezX18zhuvo2DQCWHXglnsBJBihLMJXzM/MoRpQK
pg8jvzhkPkjbplPIWV0QEDgWTPmW6rba1kG6L2o6Bqbs/Yc+Nj6zIx+9wtVKFKM4kLLKjkJRGge8
lqkfhmHENlmb1npDC8rFmAuzoGRH58n4TVtm2qHfGt94tU7rVtenLL7qsobMdJV7owheFeBnfTqp
qn9QoMEOW8BqLwH2kfog49Pgidh+dKnZbJ5w/rgXnSgaH11edNHDAyCTbwGzeFKpHkyZCrIo3i7A
0yMODmnQnycO8MIN3iBDdkIQIOxEs9NiaUx16t7bgtztrQ5RCJ+NQMeWw07P9pqvbNfYRHyXxaos
hn5nhaK6SXkosCa4IyHxradnplxpUVoHphPyk2X34pCJX7JZFXjWRdrQpi0wM6A6E2nVnjvF3A9H
2RSYrV92XvM5HtuyZtfW7S6VLgzP6uv0VFhT23BGW8pL7E8+jh3DGMQG0jEfh52TMK4kgpqmG3me
5VbljWK7FYzs9nqRI04CV1bDReUvBIr17cxOFmPzaCWqIFNLksTzr3Pe9WyOPbQUwbJaoKqjYDJJ
ALoZkdPKCmVQzMyAjrqcgEminItquZuqssNriWOcdrTub1LYJkDMqPWwlakh0mcEngTHvOFF8qUc
ktg9j1ur5LmNvJK+GsmHGUo8r/YP8mAubpRVFjetLxCZtuixllQ/oGdlNpLETrlPIkrNUZWSood0
z8Oxyo7BW0px6tBlYQAqLeR7fHWmUIOD0coacDx8HbDbusovgevwkLPYb70J2kLlt9UBBMIjZqPL
znKmp6Au4MBA6OAeW0+U2fK9R6GeXJa8T/o6y0hFHX3L31L0miO9oMkbDSCokqlPncZXS10+gVe6
y2dJBlPln6A+INyBKSlmGivdpcLecgtRG+ppPMiZp/isT5vRKVHHs8Bshry/KUja2C2ipSmezO62
r1sPcKidoBaKr6vQUhtdoVW1mrDnwDc1GQBIc0qu8wnuF7qywSpNkLGnycpoCsTP6t1y4xDdAOwR
XBppGMc7umzU+G6O1GEDphLlg4gcBEExPbdr9gUg019lEtFXyYT6Kp/wv0opdOwUd+gcl3qHECqH
BybqtjxOv66EM2JLsVPwQxkYseEHRxmD3TfswEQ0o5zP8RD5Idp4R3X6IC18BF5l3XBsRn0gnoJQ
IwQd53j6PPLH5SaANRnfNG2pJRStIjj0p4gfr702g7EUOPlREw4cG4PAOEwWiCa86vKabieOwl6f
KgSG+oFuPYJ3Czq3YU9OGUjcc7MCcTfgoKKjPhFptcFAqm8d6H3Zjvar81BrEJFM3pBB0rlOUrVg
nwSNCJYWhVPkpJ9oyi7hDg4dCyJPAet2GzD7Tsu2AMg19KbcBT3j7pc46yC1JUugbyeHRSmmHpu2
TIK6fMf/rF7VEDO7DL2umG7tUHfTuUUpzvzdaxAaJsnK6Qj8YzrGCDi/dsv+3Tr8m3DXCOV/3Dnc
vOjk5Tvl09cf+A2lgITJpcUXcmonGeIrL+HvKAXl/eL6NIX90PfF2lNE3fRb3zD4xV3beKy07EQQ
zgW/wjfKJykRR9t08UN3VUz9M33DPwSc2C7//J5u/JG78/+dbvyBa/OT0o259N/yXX5SuvEHisxP
Sjf+8F1+arrxh2/089ON/xAaAfnou3jjD8/Ln8cbUw32IJg5eLZogD+EHDdxbyE1GZQj9t+8+H8C
hfuAsMKWSTTtGrDw96hjXtpvnyqY3f/HIcS/f9QqZ/wGUFT/z1KVP4gi//6Ffo86/nBxm+ZnRB2L
FXX1zXf5SVHHHx7df0HU8QcEX/Gvizr++F1/TtTx+jp8c9/0/0XU8QfsGU9kwIb1e9Txh2826N+i
jsNoShwKhr5rz1PPiYrNz4w9/rDm0lLWPzX2+APt6F8Se7yOPL+7v/+L2OMPNKf1tjqu/D32+OOj
9F+xx0XeptnWiaY1HaA20G+iMCkMZufFwcHQWKinfrxo/2GN42AGgpODmAzWIOQPT9T/MAj54xfk
CAiJ4fd83Q+8vED87/N1QQFyg76ZCK/nTg6WhEQhuBcBSK/vb6AzzGZWMkeNC6U3PyGJuXHabbNK
mN5NL8rxgkY6rSRq9WoCmk/JEx13cZGHd2k0G3Pepm3q3ISzyuxdHAxheZQGo+5uc91h/ppmM1g0
NOnHPnWC7haTVd3L6GiiysUjDLum2ZZMf8bnosPbaG86hlPLFSNBL+22DMqW+h2G/0xoSC3aKjwn
/pd6rGmkdk6yuJN9s/EGW8rLPJ/CL4zyFsge9F9qcTrg+qnPhd+P3rlmWlzte6N4dNwl4Tsmcsmq
Ix+z6HSYAbCpTzqnc8PVbGqJrRfXXJQiBeSy6RoxdpB+rXpG5RUufHCY0IsN3Tyaz1TR9PGtHNo4
2UC4CAt4djWEQx3oZN4Dw0ap3Wbx+OKGkYWXTMkFWDEakyeTTNhci1Erhor8IsW+ZqQAGIqL4+1A
3UQFw7ilWu57wZq28fuBMXKYIJ+C15LU8mjJmuUeWfoyHgoG9cQ2qDD5jGyUV2MmgOSy7D0uUDPW
/lm3JMSCNCnJRtupFU1wmveWeHZw8vv7yHZ7fzsz3opuBITe7jNHoBafctpPerxxVi1Ava/nvEcO
AwN+np8KxXxWH4QJGoIvtd3rYzmBGkSgOriInoq5fhpQzDhrtIV5HmsVvSHDJF5AT8Y4u/UpSfAO
jP3rSMkJR6peaJnEzhKr08Wni4uFSrkXkxtgMnelDq5REaxw5LhC1qyjyHC9w9k6KFIZ0zsNxsKi
e+kwmJ0CfHVbgw7hyyqtLQC8AILYMuboX+ypCW9BSDj5trFVRJ6ga1yNJ1CRDl/2OcgylMjLNdk0
Jj30C022Swjo8TWZWgWdrI78fmewsz+ndSeXk7yNuk/LopEG9rCrnB0RLtb9SL7dbQ5IlvtllHyo
eArjTT8na3ug8uP7Ooqwh9Fcz+7jJOn1wbIUhUvaTJyMZ9k8jxe2wXDAkHfA5j93I8gUCOGfSCsf
EP/4lr6I3FXFRLAhTBo8gr69B6PPAJ3uiMb/ByMiP2SePd+6HmrpLZLs7i7w1+D4JCiniG5DszzU
iV++lwOElR0LsFfuJxU0uPdCV97T8+psqHO2OZ7IsSBIwYFvtk3DJTyv6gbNhlfxUGPzYI686e3E
P1kQI0Its4e+pMFEhsAOjCvmV8u14wZE9MTTuEx92xyVDk0/7lfpFlupEjTdKke3HFgyoXeo4WUQ
bmFXzsYhm0Nss2hW51gUK+yjCeqJLbbtcu3Mu0zcfIuHTVp1+BhYTQ5n2zRYVmmpOc0+UpVfbPvC
9ujHoJr41BJSg925dW2SbFkgmh1V9qx3SMvilhdIrIZDjHlYzwqAKwfYEIm5sTVTAzo7C9Ir1UpT
nqMBn+61pYtLljV8FuCTG2dT+bLPN5hx6atPaCGIq8WC2Wznfhnf4trBKADyGdEyv5Y+qWjO3hse
HufQamee88QZlnHfC0ZlqD97TIt55n4xWd4bfimY4cgkanLCTAhRkK4/eQw7RHM84l4xR7iM5hjW
CmuUNtdzmdDhclpnSCE8iwoQlK+9eKMLDzfNPPae2Wi/cyTaumZ09ngr3JfSnRJ9bBekN22zSk33
Nfp9bq4YBDQz8tPO83C0ooM4LWFl0Ok1911mrAfRMQ/E5BPl8W5a+oQMOTtsSfNIDeL3dtCkIfh4
iq/gOKl4R8cve4P2lD9bnSnO5siKoG9YQ2xvWFSwWH3VsyBcQTxKr+t8bFfz98w12RlyyxT7USyf
7DbB3z64ebJiFgrvAm7eQjJpKhn4kDi90iGGrnnkasCY97FiIukZ7aDalSkY3l2BlxRHURbDq6Jf
B7AMfczoMfGncb8P5nnA+iBIg9/Mcwq1xLIiNz4Ko6BfAYW6PSzcNo4vQlCrF6r20n4LT6nEDGo1
7o32OuStyi3oOEZ9XDWH9WLN+siO7K46q2GTPHpuLfOD3mCc2JW5oQnZTnhPe4IFiHeNC5GSQ/E1
zKBDdn/o+I0Doj+YcPS2jh0Nu5hV9M5ZDdqIpmb4AEk+dG909ImhLoFEXGYYnjBCsUjk2CSZcoEC
qrhE7TislvpVyUtHGBcAWmyf3CuJ4GLjjRyBUPzI9NYRafbuMM0AwNBzszd9NzbOzm6S+YaBCWql
EWOq2qmZpfMI3GxxBa3KJRsBKt5WEeuHMYvRH/YL5o8PgtTNbjf1cZxtEYvThR69gP+I/UIDrp/d
d7zrFmP/riMfp1eNdnZmydz5dCjbzN0DLcTX1UVC5Sd9OEtcDQSQPIrGA+yf5rFA/B96DYCfou2W
u7m1wjvWIijOE66tntnCEr7hQ5avHk4JZJiSGK+NoKBIN7DU5IVw08TfNoKpIqaC7JrH3nf3EWOX
+sibRlZhC0t/ifjDIp0oRPrGj9P+vWkWQ25Y69YQwUSWLHcNWsH3oUlRz4E6Bh0StxoPgcDuhmYo
BejLL9ReM8BFQQ1GGUdEXHqeOOpyT7yjBQ7VgfDYKbfREhuYYjgE3wLUrQAQ8z66RJkR5QeDRMGz
bSUIKAbik/epM3hlNn0tgd0gqhgRY9ut+hTj7EI1IvBKDZybS5DzUXAxggh3jmPuSXrgAuQ/9KK+
OIQh1VkHaIimV5nUnrzOZCB510sUWjsy4xEoOCAOCRi20LxsBvQJJb8ezqGtF60O+Sy3AH4oH7ZJ
6c5EdeNlR+sOPpSJQa/i+iRRRk7sGE0hNigrUO94ScjdtIsIHBN+Q75lG645KO4wYPpmGIlqqBqK
JN7XNqltrAIIsvc6I1/r0ky2L7DwdPG4k3ab1S8em9O0DxvlJTvXnjBAKhuh+0HTOODuVZEXnydL
IFX0gTxYJ3aJYpn3w6pFsDFD63QPSzNzZaKiaA9HT/cv9ejPd3NfSXhKI4OvLae+MD6HzFKMh4PM
/fi0xuql9jOZMd6JPYnkrauE0qhLFvspxNYHOA7rGPOkSNnb1HVagaYP1CbDYYch2WSYJTSZj7yp
LLwvYRmp7MhpwRYiH0gNDE1cldGBIRjosaykPMOtXF2VlQ9RogIUmx3ZKUOWHVFGIdNtsJZMKexo
3hXSaGxN/NrPGmqROO10l5xmdtacJpNh1Uay7FeHbMUOR8WoCy49m2suwlYc4YQJM4a5hfiUNDGy
qbTxk8dUVeN16bFuIW4f7FeSMlZaiDUELwuYeY4SbSbvGbIB+Wi7aRh39Ocq9iKtxbXsMY8iJh39
Uw9Py11bcFCGIrQ0p7WtNUyxamn3hKxmAeEgLjMvVVgr5oTN63hIs/g2GTz/Peqs7kYPuX+9LJFz
2wSDIY9vVNnWSwhW2QI+8x8jsmFPisHp3tO8NACtx1RxXiHV88Lq15gz0cC9xSha6Dtm4sO9jtLi
ORELKtQIfifyPjRTHqtH7BEiJ5Lnfp7Ugz9Zg7up7XERh54AbQMnMShv53okdCmtqvoqAiSTbTye
SB75VffR4qEHncA7f6rayn0esyR8N6tgBJNZ4F46/P4skpFFMBRBS+1xUldYgSYzddcD6xtzUV3p
ZzeaAL1mRiQ3C+cKCCkmYad3rfkOLGLMf/qqbyHlikSF7qv2JeGkEV+Mwh7WCDniXTfIZV0wETAE
CBvEjJdv7JFaBAgmOhv8ZBPuTwfwN4w/KhhVADvYcAjzr9tkzhkpl5GNAzbrySrELEEqS+r53bxH
kgnrIMLvyo6TNYZ1Lqwjwf9v1Z+TfGwtnIue/5LOizxtwyZ5T4dhDlGHamr4dlywI7qFDny4pGUG
gCUUzW3JzocVC6TRGw6q/KG3mD0T1xr4/BVdrQ6pehBeWUEhbjo3AMts+lFk2yIDdIPdOCRtsY9t
+yZJBrLEpZ9Wl3ELYWsXxKXOMTMNablHalBB1o2Im9gkbataBq7NdOuDhb0B3je9160IzqUhGg7C
Qj3cmyrpo62tC3PTZw3XCogMHAa0tD5eIisITvw05MmyrQpfNYXmrDl3sbhaPewYaBUJZxyHA+ar
ZQldnxnbzx+62oDKHGVrPgPKQ6JhmsZ/kbO29aGSMXe0bEr5tNhOiz97aJoAy7gM59XuRQ1n2W4N
PK+a0MB1VS3P08xN79tYsgjiSq38I0snIxZibDcXAxKe+pggUexZKCTnwymIiNSsUqu5hVpkTjig
hXIPYp5ft2HrJyUEb97tjPzJ31ZtP9zEQdAlB7g0W3g1pDkCuGz0a4Mv5WFoETdsMgIG7Z1RdYXB
JxIDu6uV85A7CcFHISFIz3OYgaBPEj8NNvA10rd8KDw84a6fpytyy093usnDZG9UHk8nTSrTbJ8g
s36t8Z1gWGecGh/hPObr13E0XGf1XKT7zFkPoHaTDs/AvqoEd5o3f+ZvXl4wfjZwPfSC3Xy0cyht
cJhgvBEumOH+7awgvsRhSiXKZll3m8H0aJc18Iy7KqD03E2xaV6BXCSU5t3MkS11qXs5IphEHrjo
afTBmMUDc3u7808UXY7hjKgymo/gJIsVV0bMxVHKZB4BsQrTF6ub/DcrMx3hVLmdXXs1uAUimACy
BRjng6Na1f6wbRc9ZNhNvehkJiA9REJuYNkUQcm/rZyMqZNYrzDKquoDbz8RPPMpbqvpdB4HnJ3B
r+xKcghX1bv7K9xyStbAsy5FrkefIa3io6lNgyc0ZsFDRtDRI6bx/Mbpa1I8B1NRHpFe2OFo/crP
1CtKE2kPh8AE8X++1UvhMQ6fOfFjL4okx2Zm6oTcBxNNl6mhxiuxRnD6npr5lIbF2ML4DoebORXW
DeHZCn1D21Jt6TasHr2ZkHLssgFLiDWKB/BeHEMxKOZXfY8Abk/0XEsvI4gHd5+veNCCzL0vBGvQ
IOoGlJab3JuHy8xx1ohMirFl5+LavOjwJmUbI1V/KCitsOqJesFzTyenOOD1Sdm16taCqsY5Jd2W
kwUWHfYdaNO4xSRIbMYaUJNYIn5Qfhjbu0XilN8CNcAAVeScVjbD7IQLdnhdA3mNReJuPZSG5QEI
i4hsT8b343mSTPp97HzxNDetSPdVMqSf3crVKXXIqpkh2SxpN9qLXiyZZZ/GiLvRTNRCmxmFNcFJ
sImUuxzE9QADLYrw0nI8isPm2IsxplF0Tro/Kns9nDoFbl0eH9W8khwGAJesv2teZXyuVH/eM/Kz
Rm78oQmfZMnhh2YTqrlNbc3RFxSA0YOM16Ntl8jowgKlVmAd1Bb7tgmcHXb2ntN+N7KvRV7i7NSK
8J0bXrC1oUOdH7h2cW/CfHyarLIiP7Lt7JjrWACW0EW3HFe6NC85J5OrTE20NTQNS4X4QcgLEOg4
BIkGldEBOuMOIQ2lFlyoLI3zHZTUBbjD0MdwJTRokRTxiue+f+0A/1u78DcRkqrzTTt8Dcz+Ps76
peBPtvwxBKLvVQy//uhv9qcAGYOH9QnVqONgJ2AA8VsihPwFSKdvA2amkU47hS7zbzIGYqtRKPge
UWLur3CX32UMIvxFUl9BJMEZhcoRuMs/kQjxYfTKsrp+MgME2txKqlVL8e2sQgFfbIEuEPimlLNN
aUjeeWNHE1WWw+s3V+hPprwfBga/ftSKnRF8HriaD7MK1wxKY86B2MqLiLsbpbXVTtnBjz/lT78Q
l4Zrh5WLLv73X8hGEh0g5zO0MCNoVDCxDuBt6pPGGdPtX3zU6kL7dlDAV2LGS1W8Vpjc4Y9pPhbg
PzTo+CiDIrZO6c9P7W6ycrARS1xhcsdUgW+0sDmByUq2wW7BMdGxR05dc2p34erQaLBFvtHJZm/Y
thYFlARWlkwWJTTQe7Pl9G30lRiRErLOu7RfYxUkB7RHJhbjJkELaNmWOx0pNVmwO9qozjeSKmLe
VfBg30VMUwgj5PCWxzJediFMMntbe1GKjG8yC6L32BD1IaYFIalrUbRvOqGsL41Xludl7wBCdzXH
EToAaf+uPDcBOk53NN32uTveTpxzacOPrgDzjAjU6bNV1xr56760RA2hYb5xRroPfUqjijkAHT07
ZZfoBa78pB/BcYvMsdsNuEuR7By0AjmUEZbhrWOr7kudqY42RWCQVy71UNy7InVJyJk88drZCoOJ
VWXhZhpE+sLfz+o9OP0K0K9m1LwRMiGeOZd18HR1p1/YfgqP06989wVHB8EXqXBQ689D0CM89NOS
SUrWDiN/XiznRTxw+Pa8rDgL5gy+S41nWG2Uv9BIS4KmB+VseVN2Rqcy1PS6mpYFPmzd+dpyIrgu
dBbdZ20mOitimprrohOJfVS70NY39mC1EqfuMp+DDWvuI4E0fwOBM72bzFh+LnRJF19Qy4PHaYGi
0cfOAW/0LSeHU8crGNx0Mid8M3MmRSoFN+dduSb8FGUlxnN7Uh1K0SEhtpDD/Ayyjn7jzDAmbm7o
FZfPwk7TKxeIG0x4Oo/3OgvqZxG0BfCDqckvgT7Qh4srx7vPbFOcL6nfwSklpHLfyaKf91Hs95cR
7Iv5qNJd8CjJ5f7cNIlaZbEdvTWXtMIzN1XOuVN6CWCyKmvvwrjIboc29I/LwnQjikq3eQzjHPWf
9meKL4ckzyOwJBjGiW5vnl3Q85xXiplDaNhJ6j0iMcOXgaTkmceVSITDPIqoNmafqmBD0nfyUsYS
OzjEJBfprMnLVSAN5Aw5+gzW2G1wNHBQXWLSbKweRTa2eENV1XCMCaZ+uo41evutI/ISDuoiiJhZ
3E79erB8acVUXQ+l771lVcforhmwf0B7sx4nnTzTyM95yRimPDAa4VjdZx4MhajwQG+LRKDSB/rT
Xuc1kaBEVePi3ASw6GlBk55FbHjqdBTtVuycetNkX04Y42ceyAVQfYvBkaa2yZunNrCgw5X4N149
VMqKAn+dDlBrdTZHAQsXlq4jPFXKhuFvpVYV7Ud/JHA8w7ZTbhoDDRRBsV8z3OuC7GXs+okTar2G
1IzYBTgGDrN1jI2UzLAMpNR1V5XrXad7CqC4M2STjmOBS07UIeQPDDL5J20Fs3dg+jZ2NpgZCK6w
UXKDPwn7Aq4m1TlJK6Wsxx2OCPJY/Dbt+kPAp9kt8etyl7MEBds4IkZj0wIMAmQYAJ7aTr6OEWXT
YR3pJhM0uhb2pLeqbNIPUP1BjgUZuO3DOJgqmMpMvsVhmRYRy5Oaa80yNpdPtl5f/4yuerPjVQw+
0Tns7H3STD3hBYCeuj2HKIu6XDQW/DuZ0Tcmbsh/I9tGmzO3YLJpdDQ8Vn3pXwL9kd6+WaKy25uw
0IfzwlRhV2ddqEhOylN4H2sHZ1vwwieHE+lhh+CuHDz9aSr0AT2BgTMdmpdrJ+iCG02342mqlBcd
JFIxt+uBMH4etKITDQ25ZZTGcKddrOyGQQAW+XFp5As2shk6dTDWx41Z8mHvuBMvg4iwTqolrI4m
K+WIHVWZfmuzJH6aqzh9NsSnfTKlHb71NWJzOpU1lmYhDSm6MS4TJjyuJtcPybJ4yHOhLzkg04Ou
tSPIRaKltJUOk6xdCFwX8xal9TNjr6xd57fA5CsoP9YOPgbUly6X+orwSewHTjVUN+v1wXbnudGZ
PwjnMZ3zBuhijYkIkFFBUci8urpgRGTGg3HxU/8UnXxHz9gfwkcwx8HzwpN8Bi69kvQne0a1uePa
WLXSucaugtvqcwfhc9zW9Lm54zFI2y1hQ4LS1c/z10jx0kIRUeKkF4ZaHi9xQkYHiBzO5k1TkShL
CsmV21bOBZDRcdnntYgfg9Szn0wL4pf5qj2WGz+qXYgtZD1tehTHCJGlrV7bwerBzETT/FLzheSG
oceCWnt2UmszhDHeKmcwHhCgKrqTlpg/1UFhjnJdLBXDlpwQmkb7NuswR8EbgWmQ8TU12o2iuHop
wipHox2RhD5HBe+sSn2ctRkIkwsSsVKAYJikbgrWkUc6QAxzTW5bb07byRl3Qq8OGLkn8CK97IZx
Hexat7P7G4KR43cTtITd0sQ1CmSPxewsln2BmS7zIugKKSQGQ2Qz0QlJdmeljBI2g98ND+OUxC8q
oIfMTm4v7yC8mN45xnHrdapCvTJ2JqGtPXcs0akazS3QP5ZCcCPzGQX8clmXs7plvyInDD1TdVyZ
IucHpD2O3NfIMCME4vvoJ0hzaanr9mka6vFeidKJtkkeuCetO7rnpFJDlm18jlzbwaeDt8ntnoz7
NGicT5Ef22/VOHXDkcF2FYNYn5frwm7tq6Kk20UQlgluPBIbXlvPxDlBPGtAGu1+xkB2mudnZQ4l
axt1/dquyF32WDEPAFiTqSfIGVBXd44tmHTkjO85wRA962PVPCwyG6BhM43WbCNnjE+yS3fKJbNe
tqjbCdMuNG6ujtrFFI+ny5y46wh18M5GdpaBIDOgPKWThZ9ynUh09TQCiTIz4tbQOBe7evAD3ExJ
M96ztsiLJnUZdKEbyPQpFKweiUWIjgJxfpJrDIflfM+sLMTHLxPrjCIaS2s2MEnezoMsr1raOhVm
GTse9pbyam9fyaK5jnw7eptLh9eXyWbykkmPoIoRNygyjAi3+zJYOYnXLEPEJbkZzoOCJtgXsYBT
wvC/1J+RrnjWNiHT/BNbd/HcO+RvHWSYRjA2CyfaFAqnypA29SX80fTWRSqQbno/t48Xw7wAB5SG
Y1A2zX0d++49x5Hg1pBM5W4WOqcYlWCkvU6hHaSgj/z4Es9XG+0WTvMnbLIBTwVLOU8QyCTOV0y2
H4pxDKytrovxi00K41UIpbZjaNw1ZwwCeo68ac1wcYxyMf6zJYuwqSMc5YLOICTQ+SB/nejgFA2U
7Z2bWfU1hviQWUEzHurZ8R5+XLLIP5RHZOBKRuAChAZly8f4v7LG9OQAmdjBly+RhjA2eq4DK4P6
7M+auzbO7Dm5UjVBRZU7fzEzgOl95orq3vHBEKAgIF3zVDYMuzcwxPDxqcJ2TqdpLO8q0Qf2jlsq
wBtNCRu8wdy1mdoh/eL4dnsNemJ+dt1xTrcKxFbBAC0LX6ZeTs9OMno0L6spuO6M0HceM6LPxZib
21GKFvaXXJjVcLr8Nar3312MvwmKbPoN/9iCcZOU//H2/h8nL8V70nxPof31R3/rYti/hAxyoM2u
Km0Ka+rg38wY6hf8GZLnFrIAjo3vuhj2Lz60CazkhDuTPuvyMP5mxhDyF0njQQa0A0LHXn/un+hi
fKjDCRL3fZ5qEi1tm/aC/6GLwQhySH2smtuQvvu+1gPpPpG3HH5zcf6kgfHh3aEhw1/tUOVLyH5r
X+b71gJ1n8Cyz8DEkh0xMspZ2ZdQK3RM0NmPP+rjF+KjkB9Ivpfjc4m+pqh/IxHOSYld+XrLNupr
fVqGRXGQl0yBf/wpH8WV66cows65Q6FHXfRBHYvgi2zG1pm3XaznywZ8CX3pHG/jLMxlWhnzKRDC
+fV9A9Ycv5f/vasI3okWsLJdqYjv/f4qlnNDVYaIBjsyOXSD0xCFoDpz7XRW/qu56h9+1Nf+y7dC
Tr4g4EeEGTYf5nhf+zffXMZq8RoAnda89YuhCNlw8vaT65J3CpWxD4KzyB/8L05WtY9FYJhiB247
ns/MvZj/JhmzOQIgzBXlVXTvEh+HCo6WDRzDBpsxa5snrmcEDMW+B0xBpkWTwASv7GC6+fF9Wu/D
918DwwK3iTXbw3r9kVBk9ShEaGxN2zReshPsuZQlY2GeSKOB0D2SnHMyV4DmCw69+x9/9B+fec6q
0OxWdJMEr/hBy2zVtcXcE9pu0wVErgw43J3evszKvv+rbtofv6RAcuvh9UJQzLf8/rlAe2Y6ImkX
Tjmpl4Hckeh/5pRx7MLI48ff6o+vl1Q8Gr7vCTqvtvrw4Me+PZmyWngupjnfA0F+s506/ou45T9Y
bFyfp1tB9gyQCIFq/PiNshlkwEJTKbI0pF3GYJuU2fsmj2dzkvRLiZAtyve0YNR5KIP83aWc/ouF
xPnjO84vQbcYVjghAjSav7+s8zIAG6q7YQvGlXOwWezo1LXq/sDINDpykWDRq4u9fe+MEsoFXDtE
y/RBRjXJZwSmTHCwfx6ttckp3SirRmnUuGfIuILqL5ajP7krLEM+rDDXV/RTP2i9J3IVvTQDG2xb
zYDwrcUx2triL67In30KzXg2MvKYFfLN7y9IPBK8xsAfLZ5OO4y9KVbbEsrQj5+w9W/5/pVVbImB
6xCG7rLFfXhvsllS5IdyBDu5UmCQIkEkbqiA2rzemX6K/uIM6fzpB+KzFaxzHpvTh0dalVaKuMOH
gDpgZ0URGafuZ1BREhoVsP8btBS0gDRirBtCSkp15vAAJIeeO0yElKbe8NJk1fIao4QOdgyM8/Ol
wyqCckPSAP7xxZF/UNhzg6n116mH7XMj1lPDt2MHewp9RloNCK26osUnw5V3SYnR3ksEMsk+pZ7x
SD2mgbCVQJLuNCGVhFW5CGWYt4agbbUmjDklUPaz16Zwxxnd20/gZ+1oMxOnNcJjSPt7li3rpptC
ZHaw1fiBuu2PsrBX75j/cw9mYRGag4ieSbsJGU+SVadWvTAbGKFJUWjnV1k/0Raoi7Z6sso50BRH
Q3vH9jjprY0x/KEe6FtSxw/JrWXnwQ3hm+C/fN31xyYaib3oy2i+aToFO7Hry+5hgmbQUa5qoqcJ
tKLLZPpOHdKDUHLTDkNXHQ4GsdIWbEJI/p1TDE+isFFt0CUpTm3G9/iiM9+ddzXqLNoFE2S7rXSD
6rGB0A4g1fwne+eRZDmSZdmtlOQcIeBkUIP+zDg3pxOIOQMnqoCC7aYX0KuojfVRRESl2XdLN/Ec
56hEstwD/kFUn75377mIPd2cfumu83sXq/5IL9uZKd457PHHkG7B0g+NCtmoHU/JhfLyklZ4unTq
QzTD2tnTGs8/+RAvLMS9kXqvygDte52BoTFco/qh0AYZ2wgQWreTfbS8h9ExoouIzRBsf8uKdtrK
BGkiwiGGEYtBK3LbUlDYG9rcA6LNUfCmEkwT3hVYChZuYaK+SRzrA6fmCo6KWgbrmrwXmWyitO0/
CZrYYAZo10rAOjTPDxL2eXOZJDNxLPXUm0DJrdZv1FZbLrN3TSxM8G1gY5hW9DWjBxAWEX7uZAYW
7ni0XXPUOs3WdGrrHHK+ySCgDSYie0o0r6Yl56vIHU33EPcBJItMeDOJRnlDOvUgnflrGgQAnsj/
nhFNQPTKd12h+brDlGLnH0Eg37EYBfLamiOVVwgUyOneDT4k+SfoZH59iwgrpLebuUp6W690xXiG
AHvyCa1FKHTpSzFdxmrAJdGO7P/0p5YFd0+luWcZes1hN2fQF0EJoU9GF5nhfu+WOH/nmUuXoiBp
gmgHxKbp+C5yHY5CV+ALm60FPsIENcQbR4z4AYZpq/YjGcdkyPl8bIMg00TCyvvSF5zYNlKkfJPQ
HIL3qsPwcanknH7pJg9papeXDyToWg8NDFMqYjN0v1Eqw2WPZd+Ye9tKw+sQNRP3tITVyuKbLHA+
0bsHG2dR5iUnZJv/md7WNVLgmly8Dj7YwTDBxtBhk7ycFimm0S5x+TJoZGAL2dSzF922eB16ur2p
RkUnXbhfeknhrHOkO07VH8Olnb/ZqAV5c+Q8P1XCzXHA4QgwtkMtIzIHwrB5X4IM/QBLgYYyY1uI
/UPmldM2sRE47abJk+eTSZrRNfoK57wZTBAZ00xE4CaFh5/vVJIWdy5hEcWBRTe/6xpboOKHXiEu
9RNrDjNZocb17JVFBlkScdnWiByCeBJiBShIIeV4vIzkbLeNv4RbljoMKzT0mVClpQkYOffA6Big
Ld5VcGoVsvrQp8crLBIqQyYT0ZbOenMz8U1gS3CIoG7Qp5KmzWpebrHItKhdfdcAlbQIeHWq7L9O
WH6BdIOeQ1rMt3+LHEe3NKHS3IjCBiwMnqgyT8lrDcatAuo13YpMZu8hTKT9YQq8JT2vhqQ9rVUF
Jq+aRkvt8lRONzmRTOimewwhMHeTZtoSjxA8hBKw90WfSC1IsQkwRD6JgQR67ux2+2hR/oUrFOcD
qzaHx0oFCObHcGTzCgiNLw9uGXR78thqYorAKd8SHAXJMqraXNLJG+P3rNGkFHRTW15hcmyfbKfv
mm3Y2OoB8QwhAa07l+8R8HCXoJZA+icvpfqS8ru/muSzxSdO2iGmokgVu5ZD2AGBoEeMRYgy350n
LFNpWoxAOJGbpZh6Crb5SDlLeQVoDyuQlaGBOnTkUQabHNbjtQpUrfa0XQJAmLn1NbNU3B5IzKsi
pk6SEYxCGJ1uhNCMwKQwwtvEbozwZISY8SjQn0ACXQYv37mUyeHGcz2wZkgYou9kMUlmBLXyr1EU
IEnyyqG5jCDERG/U5z/XTaFNTRNxDGA/x0z6csu2Z5NYeZsxjL9kyXneGMtZPOG6+HVp8PNRhwrG
hpGFFTxwo+PKvGGRZOIYIkI2MiD0ZkfGom3np3QljH2IywFdL+2ks9jolj8v/Z9G0D9AYvyaxXGb
Pan/+X/PYRx//ZV/NoCQNxBOb4cOHG4Alf9sAPl/mDZdER4YOFwcUFTt/ytj+YMyTxe/dkRrCKEL
f+3vBpBFTwkWhxcBBotcK4y832kA6diiFwW3SxMJl6hJv4SDAxmWR69n10oj8hGxaCx8Zp0tWsq/
dBWCsVYL/BNQHsAnJ899V0UZ8xIsUDMWuiLAGYCeC5PA6hfIUwPvgB0KozwQVxTfUMKiuzeNMfkW
o+Yv9WmptrZkVsTE8WpbAnBHHArZZDkk0q/OhRl6FNO8GD/DwGiFXb+1MuuEABE8D6O2P9RmEX5X
lsIS4WkJmVidEir00vvWNvFPMELtFcI/F+p2sHos7DwkyVjBdvL2s7Zh1HNgfrFWb4bRNu51ZfcW
Y64446/T7UdvwPHZRUuLvYOTAU4Ptrna2S7aANKuXhBz9YUUq0dELZpZWGvrCNsIFQkdDzh86RDo
Eq4ZSm9fYQdGo0hGTQpys41R3absG70xJ2LXe6n/3VjwrAy+tq9Mf1pZVluLtVpc8K3KD3PYqnjv
rCYY2gktaEntjXGCuL4lrgLDzOgB/N45jHmRK4z2dE8UHvaaerXamKvtZqqX4nve48XxVlsOY3Ch
NrFpMCTFqDlEW6Do6Qe5Gnq6MDcxjGAVIfR3Nf2YRgkvuNVeIMcTKEjZNvpvpDZnzIgd1vYDGKbp
Mc1c09gqK8l0ikdiWxvpGXR4AAU7N5hVCjSebYwfyaYl022ktik1hYv8lTEXqgnycNzy0NqL/Ng5
YmgvfQIt01PlgVbCJ6IzLpjJ4YcqeZ3v/XBmkOmsjikPM921HKAaX3dNk3cnobZX0QtB2AtjKbyz
3bb8CizJ+UZGEDG4WBHjz5TjYbkz6kw95Ubom1sO7iUycCvOHiAhJ/M2zGEabzh92HcW3iGclNL/
jqyE9mKYzoQMV6gmT4Tvtye+sJy7dliKG+HANZybJX3ntwCQdoNtF1+Xqa4JEZDQ9TZl93Eaadxv
lGoD60DEvfVunoWKD3GRjQ9jZFEHgvgvL2Hh+7yWhR3egLFV3X3HGdE+5T1gvBiOcgnO6GKYxIra
PCJN9E0IsYGURdlYecyH0ypMgTbNdtOfVASS1ViPpprow7FPb0DvCnVVV96MMWvqUlwGs0227Zxm
pXFR2sN0OmRzHVyFZnTZUHCd98rHo2EOofEQqDTF/9xoiQ8Twu7JH9L+JnNkoaM/4uquQS2KHjY0
nRvX7ScyXLJe48IzeyxOB4cXdYd2CuWSW7YIHMxkQuq+hIL00bIiPoETZE1SRpb23UmB25dv3OGQ
gEI0/DTOBbL1bhw/mRL38lVMo3vYqgW22CQtl/YLHwp6+sprGZEapok+GZg1mmPXfK/9duUWmuYw
XMhEDsOOCaTz5MP4QlQSRvo84Rv4NLvGeQxHjkfbhiyY2xkYVrELVMkjMa2RLikH8CXcBVPmXHoc
0eoNsE8RbXwyRj7YhkXZziKq8gOuSkLKaLj7INXaFo2sZ47iB9zOGGWGSJCkpUwzyXEPuviDh13X
25QiYJ3L0XDhJ5VBp6CoI7rfTIKh/V0REvp61tJ7aEhfnL0rM+jEsueYxh/nOK3eowUyqPv6Irni
WOF7+4ZK9Yr88BI+Iv72d32bLZj0u8KcTnxjzM8SRMNa1hXU7wyjJ47FscE35+XgfC5lSV5anBHL
HhX5NO7lFNGAAE1YX3l+49kHtxPWp8byLWJNGCq8d10V8OkOLcKa1HYCTD/NhEa5TGIIb5Z8NBMj
fyD7MiNRZrR5q+DyKo19V9UFAWMp2TgwqwxUAIFWFhlo8BQ5sVfOELbtx8wo06smHBMyMs1a5Cec
XLAwDXkWffZzNoT9Esmo000GpdPLnO60z1sRoK4apwdv4KMh5wT/GTa6AAKuTVzHPfmAouBU6nXy
QXGGPfFsHjPSKplrWT16hX0/xuJbE3AyItmOnNu8SZvbJAScvc/YZHvGhEgcd93sjN1mqVR2lbt0
6M5stVhyx7+8/9hzTsr4LgL789xLF0VjXluPdC7K28Cnz7bDk5kQnrLI4Ma0pnOjXmZ+yKKjw+ax
kvheh8pg4wpSzF+dY1ofMeGGWDArVAlAFZgoZ3WAcB0VSHabqCCTe9eS6hwbQoBUKtXLtpu4ZGwu
ajYSzLL9FO49KLQESCxxMuKGZfnYVHXjfeL9j8rzfIy7O5XrLgCAg5x9GjMIi9Q043LJNeUe20gt
TyxBbwmuaefwLXcBOTZ9ao3FSTT4zc4fnUruJ4KDuk2bOt73qPQ6e9/6E15qsw44WZRuPD8ZSg2f
8DvRe0H1ys1qAEaCjlVlU56QXJxedYlqCPB2A/eD02hCMCpLntQ8p05LMYJ4H9IjagA+XGP8aocZ
mRtBQi22adXIQILObm6dBnK0LLjL1bDspcWQahuKQdn7MqLOaMYZQSaMO5CqizDa9zxGf9gERWR9
wN/ShzspsV9tpsL0v9P8QsQepI8BU97PLP1Ec1Vupr7KqB4CFpWyI5g0Q9YqbKcV5GRHKB0DPEzz
rlC2uKgWwMobe8ASeSijLpPbLIqjR2sMvGljQb5Q6D+0uAV7+XIdtW5DHpsyxGf2cNLtGJWHdwTA
Id0vFl0IjXO1aGQGp07UC0P2AQwla83cMs7eM9zx8CS3kr1tTuGakmsAX5swsmKG0T2VxicavAj3
mpEmHqYOKKDkdCXIfKKuHUk0KuMm2g1elXe7EPMr+sGu1dZ4maL9Gn3u5bYwSSUyySY7JD4r/G6Y
hJwOfC9EsfMvx6yVY8u09wOGBW/nprH1tSPhgE4st3XauUrjFJ2g7z+kqdF9HNK4uS1rv8fHge/7
sbOkNeHS8612B2lVXU92Odf8nAKHvVJEN3TctBo9RWKeEZDX31WW4RPjABn1PkmBIEK4ThpybSyB
/mpyO5ZIJrrjXVuYMCapzoFb+LKN+m2HPYYwmbBFgRri7P/iLQGF6RyWOE/5N7XYD+wGhK/MreGu
xqJqbFscuckugEZ+Hk6yxWIgaMJRv4wqpvfRWwe6iHQgLHvE3o/n2b5arEYHvWdD622XJBPT3vSx
o48KKS3UVdpr09QSksEVdao67PQN2o8S1wWLLZXVLM6NAav2zkMEkG1avEQElhWJ+WU2Agu/2CyT
B0LIaYuKXrbI4Uwr2ReGi4WRU3bhgVAol5PanHPrkKJNEniTwyS4CBHOXZolDZ9tJxr7xFScbTAo
BznKYdub0dQ2IVmFi6Nfl8xfiq8OS8pTRcque+JYpqLtGbZjuDcCF5kbuiR8+1XutTwvekc7djdx
hcSvCk7lktNskkPq4cGhEqUfBpd0bwc+63i6kBW5HdrWPZlURl5k6nkBamur66FDKJPimOh0cVYk
UIW3BjqwMyYjBGwsRJ3RW7JF+B1trzIPjld7WD0D4XwK/Mb9AQ28g0jtRemX1HQbeYDB3okrNoDw
Iit7UMpWMCzEh/phib5vcSe2ADb0J3Mxef2JzKJtbTfxhE41zoJo77FwZDsji7Ch6LPgsq2CibKM
TkP7nWDuut97FSSEnVmF2kSf0tLHs6wLLRA57hYjzZyd5KuJmb2dUba3mpv71ejcm9r0TLIaBuhg
NUNbqzE6XU3SDbbm85ByDw6NdlHjtqM2Yf3AXM2jw2gNgR97lclqI0/s1YwNXwVjNi0oTNr2athW
fjPzHLWN21sd3R3ebqpMbN5rC+M/fQQtKNGz518LSk7kU42o5FvzXw+qfN5S+Otv/91SiP5Ar+FG
AamzATqAgP/w386Y4A+GwDQNaA5Ef3Ub/relEPxBn42/ZyMZiehIMVT9u6XgOH8wHbegN9GIMF3m
u7/TUsAuctRS8F3+Iw7pQLS7bHQfRyM1/p+FQiIh9r3j3/oiacmEGEk1ZAdBc1+SbruQr0Hl7XaQ
Fnyi0KEjzQR2s46YuBXI7gMPPcsHO0JeQOPeIZFgabxEPqlOGvJ2iTuz6BgHRp6f7mE0zelTVqAK
cc9GZKHG+7AzRwY5HsbUjJI4c72S1EFRMrSxSjkgdwuMAdA3i48R0zK2RUpTcwi8Ov48UhWTjKFW
q8lqO3FXC4pY7SguQ8Fq69Y1xyEv5KNyybuD+qJ9LNOqcZtWvVsH5XjYZKsMblXE0Xmeb8vKGX8s
VRcZuuORfSiaJqCsCNF6YmptonBraqmdNJ0+3hVagDevWrwij/yv5qrQq3K2tg3W6eiBprX/PtZi
vgz+z8O8KvwGLfZD98KSmYC9eoBVJ24Clqgr7jpah1yLBRXRy/HB0RLCXIsJ41VXWHmZ/OKsasNG
Cw/7vpfFNlj1iPXQoU1MM3ZDPHZxj6OCAu5i0ULGzEnRNBpa3ii00HExHVLp4WIbat+vWkiCzdrb
MJF4qcWqliSMPb7k8IKGErUrckpvIoWhXFWWBoa8QC+WqC+NrKUUKLQo0yV7+r1clZo1U057F/PT
HvJVy+lNpv2h1QLPRks9MWCg+py1ANRctaCploXOq0JUR7xk20D28gGAMhrSxjXym0wLS03Egygo
Y7VXpqDjogWosZaiJimiVPwY/VUGLtrfOKtqNV0VrMaqZm1XZSvQs/KygJuv2JG19rVfdbBZ6hB2
IRHHNqtOVqoUyewqnl11tGLV1GLiNb8VWmhLIas1t7S9NNpAa3ER6Usa6VZF7FtS+oQ8aN0uUTwj
4xfEvIYo0PUmk4cefFX7Cv4LiHcxJQSbSAuCFVgJkjK1TNgfg/km0NLhblURG3SZHrI+ol01rTpj
FzOPoHGg9cckHKJFzvxi+d6kEy7cpDCNz0rLlukX0aJjzy4eay1rbtwJUFOgxc5uW+AGMlcNtPa1
I9RftdFI8pPvnIfVfZJp7TRggPLexwHyBWw4NXC9aq1jR5MuvEx9pJfi3MvBh+JUjKV97a1i7WUV
bo8089otlpDkyzwO5lOW2fm9tcq9FbEZ990qAu+F2dB7XMXhaPerU3hs87tKa8dhGSEjx75QfRS5
gR4zwu6T4EXRonOCYOanrop7sR+1Kh2TEwJ1on8mpr9atw7mhXmPshzuc7Qq27XGPVrl7n2wWNdq
QQPPYZwKE18Jrn5nlcmTuETaJu0G+9xYhfR9YJbIB7S8vksVY3K5yu5Ti57gVpjZ+MUfU4T5xSrS
t/ulJ4hoFe+bWsfPjQw/oyiPPlarzL8hlDu4AFivA2q1E6BaTQHGahAwVE45KQvuCZ1YbSRo+SP3
zmovaKsuva1W00FUSt8g6lFW8cZejQmR9ihMpWymE4YQWBdKqx2Hber2WbkRnJw4ymGROvHbAU8M
dH6wMJDxgFPlM/PXjXKg2+zJvA+u+9wzSIDIcB1s3DbPP8q2yB6juIhuq8zm1DnG8cLTGMg9x+jA
iX8zYYtqKBL9+olyt/1k2qnD1wUQBjicXcRf/DRp50MXidylwk7taJOqXoe8Ab3Z2mbHcSE3RZnt
XYie6HQDwyUQsQqDG072iigvVy1nXdMlEuXgYIa7cEnty47EyXdJIXUmhvSzCyz+RE+GOBzyDbh+
+WNEXHmZCXITduS9BMEuC206mqAusHh4vUDnjkfN+MgeOl63aKasXZgt1qN2DsVb4ibRDyMoxgE1
Fo09wMGoo7u+iBdd/xdpvI+B23NcM23j3Qhj8F2cDcqiS6Gg71mhrZ7cnBbpdhnbWeKyMnleIsNR
se0Y/95ykqff0vbo76tpMeiSciI7RbH/WBWN5GtysELXxsB6aFWZwLtCnvxuiBD5762xXchkI7Me
Jnzv2AdyWN3ktLS66M6oia/ZRtHU2xfOMGbvrQXzxy7u57nbuz79yDM7dyNjw0cd3fQ1kSgkVBtm
t3fSqM7PsiVvmrulmL12S/ykroa97olkSpwzg8Wysm9BqXlbNnHaBVC4wngL3U490S40xv2opJUf
2OLhcHkTm9iWjHaD3KCCieYOmAZWcsHB6/NCykF5ww5k5XuioKxhS4qlS0gxjkTOxpGws/MSDUB1
NQ5ZeOuhcxQ7Z1iAIFTNlNs35lKjT1CLSfB3Ipzqm1Ww9xzmdCGIlz5gCiko9dJ+x4jdkBxWMZrQ
Gezc8TEvl4AebNkaFiZPO77PRED1LXKUDNulH+iEzXiYvpf11A7bLKmje1IFe4+Y57m6sn2n/xj3
MQ0ROnn+lfB62o/OwsGdaUTL0ShzY+seMl5LeBKDvntmGKj/aFaPNApoHZe70vTKb03czu9ov+c3
rUc/nyML55JNQwfoiXeg/RHGQwbQqLDce0Br/KNE7tEY6akiPncMEPrtgHM037iDDG+s1hHWSeyG
y+fEGM0r6s3BvIA1SjvdsxyFiaBEqyXKPDmLgQ4s8KLMmrBiw7HwEyI5AeIgWx5mWvHRBROBPOlc
gdlpmBgsm4FYy0dKPIImhPJZMgs9xzSwuL4TdtFnu5GX4AFY20R6L6IcPLNOiSVapsNd7+B+2WIf
VJddq829TWyV10E20i4rza7BdCGIXd4VvpF+CDMhCczrVJDcjUMvvlFGjw923Q3ttiDoh6q0LsI7
esNwOF2gSDeirLDvDNz/DxX+x5txbumTI3MywZEYTXdL/FP8tWjbZdlSrxqkpk4hbqCuT0qATeza
m6RNCYeN7ZIDNewXoHDU+O5XMpXCegPjJH1M3bqvtokZiU9Mq3Ct5m3N3mAJaYHCKUJapP7I2pAz
yOYpN9bwiP8MNg4lTUTPb3Kk2tnG3P2IiLQediRYt9l2HGZutpdYFst96Jaw1ohF3goiZr94wC3v
mGlBWpvr8DY2O3yFTZxYtzYvudyDwZILgNSWfppe5eeDrYFw+3zqy6egFPhrl7aujIMRz7SCiBYP
LypiGFtSP0jD+BARbFMdJtuJMagyzRQnViOMKzrYaBYSggmxjPYJq3NYJkoQhoMB8abzouAb3K6m
QEBl8aerslKn0va7s5EuYkbQ0eh89BOKVpbJoKDdIyIsTl2Quyfz4qU2WcZh0hHxNtGxdUUx3s6z
646HHEWJ2rL3Gu+NyMNRnpStWewHf/Utjq31qawXl64P5UD+NUrywdgoI0EsHFuoC05a4Zrph0AI
fqufwWENeQp9nWO1AMT0NCSJxQhj8YvknYJk5+5kRJIehXZiuRtIUAguysi7/M+5uZ/Pvv33PziR
cnb818fm/1M+Jc1T9/yw/Odf+eus7Hh/WJ4dIOcBSYzEM2T4/ddZ2Qn/YNoAxxSOhNZOm4zY/z4r
h3+Els/Unrm7jZwCmPE/z8qM3+mXaHeGPjCjefu9MIzw+KxMTsefMmOHC4LPOBq/ywSfbJwk1M2j
56W3nKfncR9wBnma3MVDYw3vxr5mxSU5R7pAEzh8KDs+WdB00Xefa04Hi0tLOdsQockCj16n/z4X
HboyBIAljb4w+5zCUuAbzZT/MNXudJ+ECW6lvslZFqkliwsjoom0cUrGGOwAmRvs9Qw0PzFFGF+m
A7CZR6fq3Xs1k625H/ElIy0RQ5d9QG/YBoc6Nc3xYIFO9bYwEExn5xLJk+39IlBbdPdcrAii9/PA
LHaf+K0sHqm2q/sAdy2cnjTIPhijGp+IWB3eQ9wAAIQxN7DPSJeUNbGJbcLR3fWDHyIVk7HzrKi6
RDre4UVL7fFTy5oGs66dCZok4Y0i3ZYdlVNtWeHVsEzjd8OSpH7N/AvrvS1zWnvsxNFD6pJ7tEl7
h/XDaTKmVPGoaTet8t1sVxPi/mFqu7A8XZQ72gR34rQ3WkA/SAVSznlQiLsrnMUQF91oLD9RAtHT
zexZGXsrsUxiy1Tt1Lu0pfsApzgqrgcgQ5+RseOoL8aJoNqmaNJLipYoI15umPytYBd5QJhWZfva
60EYNf0w1NvBbsUPBf9oxJfhTtN2rJo0OVB/JN27xXJLfz/6Zn4lMcXlbKaxUrsa5TiYDSHKLx3E
n0+gTtuHxDPdJxBMLF9D3sob5vLAeqtG/wtof5jTqUP+6p0gtY44LG2B2Qcim6IrCi+ihObIM3+Q
nub/SKMJmWgoZH5Hg0B5B9+tw2yrREbqsSzT9n3rRFOwHdnCSdwsJRdQK8l3NFP203nQhN9ew36r
IE+rfVN7yEjamsEyWWsZ9glvHD8yi13mM/I3xaJJ1lQ4SUHZvwFzR0Jl5TOlhMIV1sv5NC6DOC27
NF62TFKND2VgKXSdpmDakpmLpAIbZXa3MPNhSprTfQEtYH0L8oG5BanMjX1hM1EwNxGS2XTDwuI9
9kHNz2ky5GRAjQr3q+NoXLDnBwijTb4LibPbc8pT8jqgm0PmpjfcGo1QW6jYBXJWcpaFnld00WnG
mddDJZDQoKkhhX/oYRwB5MtCVAzE11NgPVsSb//Uzv8XIsFbOEl999//0CvIM0W9C0LH81yaiD6K
epz7Wp/2zMvDFAcO9MLn3nSD/w3cRXpWdtw5grgC/w2B+rF146+LsWwiKcKDpQ1vzy820v8nYNUt
N6Oo6h0GrcCgmx50l9KoxPVMkQBvSanTkM4DEZG5zbTZKE//syH+uSFiUogA8/zrHfH2Sf7P/32+
H/71N/5uHiM60x5W6mjMXX+Kzv5uHrPrRWyWmBLZ99gP2an+2hDtPzyIS5TqrmuzMuDK+ed+GAFj
irDhYj/h//I5/E7r+Egq6eB3pDUNWcnHMAgWiOs8f3sozpAxqxqUrm0gz+45GNEC7/fP7sgrHwQ7
+/MP4s+r0JoOtHrOBnj08ipN3LVx6EDXiOucTHplECJcT+XnZCIaLisi4/rX1/v5V3kmZQmFhkUc
V+gckZVKi+FNBEUe+QYYXjJBp0NaIuP//as4aAK1AZWP3D26d5YKs1yadCpg8tkfTJoSZ307veWv
/PneeWsIGK7RKHS9YyunFKWZ9gF54RMI4QCb96T3QOkB6W8irTlh/pQ+/vqXHS1gPC+CJeAMwdrS
Ywr36P6BRwH6PMyS8X9tn8PV9dDNF/mVCZpw99uXYoLiWhafRmAzKHn5atgtMpsKBuemKTWP1J+a
kw5xIdKMqnzD5fbKnfTR6bIwu/BFQXm/vJTXYjswanJ3h6zLzxQQ51Pfy/tLt6FlMsom+HNR/Jee
zlfewufXC4/u4szu2fgD15O1tbSnlRW3xp5dL3vjOq/9Lk1gYy7hIC4+fkMiQXBzB0mE6YNd7NQg
7evU9+MtBfpMZGHobn//kbE84Ujk1fdwGL+8jzFjU6K7qeGiEv/yNvbMDC0Fh+DPTkIp8OuLvXYT
n19MV/PP9tIBB6KnMChsokbz2NjE9r0bF28sUK9dBZMXNjifad2qDH5xFTczYG2joMKgwKxJxt4B
uk7yb7zrz69y9FssA8SEMdG+mCVKpd4uyQvPFxtHQCIff33bjryU+gv2n1/qaG0alqClGue2eWTB
pmmQgLyZxfs5tIrLqaytzzJUH399yVfvIQeC0AfPxwBbv6bPnhSenFTinJKbls7ILZ0uMkHC2rn5
N64CEoLv2Hep945MojFaZkjPgaC2QmnhTI1/yIbGf6OCe+2T8hGQc0Jko43Mo6VCRii3GMXTaJIc
J7dhVBbnpV/FP6q2Sx8jlqr+jff8lSXX59axEkb8F+1jr2dupKXMfLrDPVbEk3JQnyBofrGFHfwb
rzpncLpZCCphKR79tIhYd8QhLLhWDar+LhyIvDjk00TI1u8/KQLIOT/zUYEKOXof8FPCwPL0US8m
BnesYAq6JQ2gX1/FOlLT86b7bB5s8hAfAo8N6+VrlxphpkoPxLVwUHd2NQ4XjD7QWNs2OanHhjgH
3zuhl1ecOF6PVI3mKm1Tk4HXG/8S/U09K/vXf4lDrUcVFQL1OQ65m7okTK2p0cLGtDgHtzgchGid
x2aQVwnQs3NgAg2jIOhuDkLl7TQXUJ4CJu99dIYcULxRBf28BuBWsPRbrNkM9rGpu26Iiu+CHiNh
Evn3TThjlExkuRuQKuxMeGZf+kwuh1/fhVcvyutLzQprQzdrXqwCHC9BRwnWOPqGA3KrEiK2iA0k
0DChok9NPoo3VtWf1x1+5rMrHr3Qs+1MFeIHTnsOUG4JCJoUb1W/8XRfvQrPlnLSDyD6H23mLk4g
NzEm+sgGI1cvQMNk4EV74yr67rx8hfgtKEbw7LII8I2+vHsIH4FSodfbtGaIXH1EMYa3uB8Th0Z8
QiuqkiD7oOLh2lM9bP3ff3i8vPrg4bHyHV/eVwkewMYVwIFreZEj1TtrU7Vc5cqQF1RlLlniufXG
gvTaG/P8okfrRC1prM0RWxW1tj/uBhg/F0CWyYsPq+7KBjHf75plYoby6x/78xofseHbPppCXN0c
gl7e66kNK1HKms8js7yPvaEwadtEgpyMdQSfDEFX/+HXV/x5jV97mI7DOYjGhKPfsWc7pHKSUSvg
mQDGXb3zBdlFNMHQcdTT79ee1NPUMr7j0VR1o6ObWrjLUoy+y8RrVOXeLBZ1mHrv9yvqyGP2jInJ
DG1OKUefHv7SpnHtGaFq0I4nTkFDkySrOxNtxIYw+DeWllc+Do1cMPVDQ3QVHP0mt6/xoacLmdqD
2Z2nOMJPQHKa503lhfs28IfHaTRwFFUzzt83XpZXXtKI0zhCLw4OPrCWl48uQAW6kKhDFoDRRw+l
8OwbZFgKkziixwYRaY6uOvbe+DReeWEi2+QQS6nNk3SO7i/nBb93rJEqjtT6DY09CP9WDnEfGusb
K89rP3A9xyJW0xToo5sbtuRXuUlLxZM2w4WP5fSscnrvPGO1Ou3joGemx/Tujdv6yiOl/aAFdOwX
dCKOdguZkqPU91zVUT5iGO1J2I3oX869xkFY7DL1r8OIaCmE1G9c+qcFHXMOJaRjW3CFHD6Ul08U
5HLdCsGHTggToFOzdg70SYbfLYL0Vfhl6zvrgHJ5eZUxYYQ2+SzcnPv6nljCwah2sS2X+XdfFS5E
9QMeic3J4q15eSGwuJacej4OshJizC+quI86q9vBVyzufr2MvXbnWFyoQwHZUn4dLWOFm9HBR+KA
s51JOnNjY/k8GHYZvPFK/vT265/kctPCkO6Af7zlIlloQ8bPLW9/ARwC0zVyEFWdCQLo3lhaXrsU
cANMw+C4TWhWL+8e3pKagEkQgp5IOhCds7GDufMpbcz59PdvHpURnxriIRzK+l/ybA+A15hmk92S
5Oia2V4a1KLYKsQbb8Mrj0jvMuzI3DyTuvjlVbokSCORZSyVHhJn04euIBpItb/9Wxw+IXp6xKrC
1zp6uflarTDBkICUZiaCzI+ML4OK6uT3v1SHtQGmFIdKi2bpyx9TN7OIlzlvN5HPpCqonX1tY0r/
9W955Q14cZGjaiCwcewbOiHJ1W7AvsA9XjgDhkkruvj1lfRK+qLGi6g3OFZyRmBtXyekz98Aq59E
1ej4P8tvzEuRT+IBjWpzFiUeJGpMUtPJry9o6c3ppytCbIxwRAPiN49+GyrcvBwFV3STiN8GhWGH
J7LYIu9kTAh9Pj2tpyHZI9yMMCEI+4cxG+BJQW2kzljc//qf89q7yYP06bIEHOPXA92zLwCbVKUI
q9HkBuB3Rmvke/oE33//IiQPwMyiecRwTN+SZxfxxbhkXes16NiknW3nMff7XWdGSHp+faHXniau
cHpHOomBvfPlhQj5IoVw5r2p8xrqGaYKLcI8WN5wWuM2fuNqr9270OcjCGH7BGycL6+mps6HkQ7k
O8DUfVEMszhrWUF3v/5Nr15FPxvqLIZKx/OroAykA86cTaur5CX5I9V+8pzsjXbsK1fhtnGcYjXk
QR2vHkXdGOTwprpEDdLrcgRCbWVe+rv9IuT1DFBoSOl5SnBcYYTLYPSGfvfBbVdX1TzZuzauwzfW
25+7EPoyGqDFSZsf5B+tUZWPWN6sAuKEVJxdGnMIdVGU582IJ8o3B4Ay3n1rmDHExyC+oN997kdt
+8be8lMNxz8CvLnDmIC2PbrHl2/HIkwgIehrkMMMNtT7KUVlBLzUHC49NY54r8eozM7kwCN/48V8
5TPgIBBinYSVSWTG/2fvPJrjVtKs/Ve+6D064M1iNnBlyGKpSIpuk0GKErz3+PXzgHe6vytqQore
T3eELiWWTSSAzPc95zmfvr9UxYY8FA795YImvxfL5uJPdXKt4XYkA0Dw5388R7nxqBS8NXwPv7Qo
BhVLDYA4rmkx8XNTp7WhVax/OhN+vStwh+Y8Yw237RE/fy0lZ0fcWhxWM04ij5y96rDgVTigjI//
MIV+HUHeytZglrDHoQj46Wa6MSnk1mAEq8xIMBBWm5tUXmPlq0PI4Xs8FZP4w3m+XS1+vi9QlVN1
lnIb+4Jl8M/zJSY2e0ZjWbmbnszXncZ4aLCNvDXgi31FKdU3CiLzFYbRal+0avfy+0P463RVAGDI
CCtpgSrG591jUZJ1NE5UUxD5guEyrXcYai9GSckDQj8ecv1PK8pfLznbO7JfZfNNedf4NEu7KUkT
VWkqt5RU9qsNbXFOlfIPR/J/mTQGe272qUDVKbN+uki3a41AzkJrQVpaExoIJ1DuCiW+r7oWuNfv
B/Gvs/rvR5Ey28YNpU3MWoSq+KejqIyK03X4cTydlDVpP3C5/i6hZSc1eUm7u1kWDt51R12cYEGG
W1+ri1prO5b2SNzplFUNwDNwQDx/1Qj9k1L1mt6fNHoK2/GN64SU84CsMM92k6DfeZzszkiIwupI
Ut18qsmeopvQjjJ++OhIjFWXH9YsVirf6pUo3kdDFht7Rsoadl1DtMKXWM+7+oAOK7NCgNpx4dlK
TB4eQWvKc83NJ/PaPMKc06FvQDwLd38NQJBp/a1RZTnMU7uLukuHYyL3yXWDzuVGSTqLK5uULW1v
F9m87OIaYp3HHSB7L0oxkaE9Wax1ZAgn61GfeuIO9Qb1MxEzuiw8xE0GYdRd1h+muSPqRU/VpA+I
aMAVaHbRqHuNyNkagJ9IkkCx8QEFZgn7G/mLks27qDCiaEs/SUuvVVXyaqZhYA3AfUkuj5KZrzof
QYrhZSf9bPpAMdLCqyIz+y6I+3iesa2X7gB4zsGWWyhoh+0tcmQS61Ts6MWpHMK1ot4CwTrBlIr9
avSkWHfkcKSgW7rR6EA8woxhGayWJw1A5YSnJeQI4I2J5FWqvDxqI3uT1JNNm02raQZm3vR4kEmj
ZiPMuV8Fw1hBB4An1i6ljFtKQ5K6lgwnhLy4Qf1aRFvhzFjgG6GnszVPMgRuaIIRoOYLU4zdTUxe
HuLLsutyYpArFkRNbjb3s0O6TqCVCYg59LQTKQ5x1I8+m/TkMEyztFyXDXtmvysHMsbaEqQFavUy
eQRJMp6gAPYkDKL1XkJsTNzskrwUr3ALLN2rKozePtYlQewaGIEj1pzyh9Us7VeSWsYf8Sqbs7tY
6xBjmCiJky4yxwqyoVGwzvVt9w0wLiRJTZbzFxN+Xu1WpercIAWsbrLcjrUdmuqVpCMwwATQGwPU
gpzbPps4wy4Btq8kta9EnT7j9jTw6uN5f1vsNH+aelSopS2ML2RPEgQTmxxDktz7mS0A8ScuaQvT
Fz0aYTnaigA1rC5N+pBVDmKy3Kidl7whbQ1LObItzivTPGuWhhOkMvv0gndxGciZj3Gr9rlhpGHt
kIwTVOvYQrYXJlavEWgt2BDdil+JEI5/GOsoK0iqdKB947CiHotnIkBaDD84yTUSCUNDaeaLxOQg
8q43Z9kr+rXcDZZVxncj8VVYYNOOHKRZgXTmjhDSfiQOuUaeTgo8KS7oseAdWA17N0wA3S0GNZmz
WZHUi2lEzWOijfibBmPLDl4VBVxZEzVqDSoCNZsv4+NWfc4UDAV1LbfXmhSVX8reNusgAYxjbTEx
yol0W/l7ttqb1H9t2/aJPpszv7ISN+DAirSPwpnA1ekoETpcX0tG5uS3apbkzTUQCUN8IQxyXq7J
H66fVkDT8QPOgEZ8G3sWx3dqUxZjyBGyrUtjcenc60ST2GEpl5N57CGlIoTjPDEQ/5tivSphzmyZ
KsIYjm3lGJNPd2bpUb5A2mA/npkRyCdznNtdK6+RGWYEBIhdIxXie6qRwoRCsY+FL4OeLkILIELn
dUT50S6K0AO+DUqpQLbl/ihFe+ArTXKBpKvqRylltR46AkAqoAcASQdHqFP9JbboITxtE0H7nujj
TFS2VBG7Ac6ynuT5krFARGGfp1l6Vy7o/Y7cAXQAEDrmyuxBRAT0lPvBQbk/IlTl5tZjX24RWe/n
ik4EGNfJTtsfYqAWcLsaeq6RS5wvHPkJYCbXTCNLsy+LbS/EwttjNp11JSILcFJJbvdk8BStH40a
Xwq7S071AGv0rJ460dblFaI20s0rcAHmZcITiD1bt7gQs1jBcdSoVe144xDDiprxJT7qmTOrIUTb
ZX3I4Dk1x4gMsTWQqR9S0IxJvcVCQczR3czuQwXB1UL4ucaeNWoh4VT2RN6zU7Tn1e7o/o5ZIc0B
8TFkCMuMXIOJ29TvI82az5sV7E4TCkSAWtOBTlZFZ34zlY6VyyQMSrVSTpKTt6AmeF41jDEuQRuc
qr1FPCMLeZCJnIFqCdq7HgmYIx6T9FtDkb6k1IIlP7MH3HYLoOMeHU48PcaS0jtBv239gkzk0U0u
NelNTBlTdglAS58KIM2IDPO5/T7z7JXkpYoynWw6MeOji4i0E7lBfKWvU/qKAChvT2uH2xRVM/tl
T7Nq+rPcqweDmOvZOS8QAZxDKSn4KHM1ko91vEFdBtlZzsZoITok8YqLNLhGwN747CKQs0BV3nVs
e9ImbG3eU+yf50hstcgxB+ThV+OKut+YquIhLlXiRImBq57yNh2asM3T6q4CPKJtUIGKRhRJW18U
0uos7kxVXqBDWjt9a9kgN7VStag8qx+y76hc4sVLgc5MLOmq3vRwXOTqi5HXoFpkqF83jiCjzFWR
ZM8+jnxErzILwq9sducC/hjRJNZcTlmYxQWUFnJBszzQSdF8s8lVsrAqr3OHYLmJXmY5MwqXi8p6
ZeIPetbZ+BCXWywRZFvCgZ6xF0sP7bxYiWuumjq5wlj7d3KstVtNbeb3iXCjb5RAnDvQL9qz1kSJ
7k1xJP3Q+mn4QlEjf+tHLuOuiIya0JMVlsqijc43Z+OB7ThkybPe1etbS9TyUc9ThSB33e7enXWu
vtH3iUkWXdTSIKMzwnGbGknXwh6wmyvVnp1pJy+G9ZBES6wE+aBUujd3lSQFBK0gksXzlTNJYMyq
QWzbhE2pQrOkXZkO6X0yVYaO66ky3rreGKIQpikevorCn07cALpj8owbedrhssssn9ZWcmMIYU57
3UnUGPaHpcNxkKPMvC7WhUYtVX4HRyd2VfghkbEUAT3IfHyZ5CWHJZFAtIR7tpiT8iWmUcJBFItN
wF7aEQYtUhGrrr7gIfJ6IVTVy1WkXL6+WnBHTWcpQNSkFqsfsxzUV2fiphARkTr7ltUlIxHuciJ2
eQZMzVXXJH1pDCB2MN06hqCk5RQSFlGXAZm5meqR2FiEqZ7zo9YkuK3KxBxfQHhED23GYmOvR7Ci
OEHEdIUVeHqEAuOQS6zk9TnLTTsOCSNDIcDV1Oyhr3YyezxnhSdCDBDh8uj+DWhbhhIToUpvywjW
oahvjXSQ3XQ1wakVWQQGfDIliODFbNVE9RWG+WWQGJiDYaHt9etIczBDKan1PEfxVlMkdLG+aVZZ
3VcRkKUD+Qyz4OmSPvq5NSgrMDdwOXjQAAxhWEuAwXHbk86qKcTgW/HUHZWETfwunUxWBLazAC5R
MX5jolCi5zhqLMWHI+5kASep2UMJ5b7rA6dlESRw7l85xIvpu4TCIqZbOZ5zL0XU+NrrYzqFo9Ni
AIu7mDTp3Cmz7wusO1x2YI8u2ixbr7qk5E2AwFSQRY+q4WntI72GXGTIPczTJNHYBWT9jSbS6Il0
X4cFxxrJd0XG9ZhbxsKlSu6H0fAa0n2ZbEbbCBdmiPEQz7FFxoyWGtetXcIqFJSqPMyu0e1qRax+
a6mZr+ZR8IFQowFqUvs+fgQS56g+ABPk8EgwAF7ZgFu+LI2qvszJTAsfSc1418taxOUb8TX+OTFi
hJ2wDXxtVXl5kapMOLBMRpxe1M7JiCdUAQObwKyOMVybKKSooyNfz7bZxMm3VNHArIwsTmO3XHC1
Qo7uuDuugzDqwB7y6L0sRa4ByLPVOqw4QE6omyWxaBnc7xyGslXcsjluvmUy2ySiMZWkCUHWdd3e
sXJozKZdYt+qBzDF4F/afAmXpaRFYXaLeosnM2L7sMyDHZI92R34Wv2PXNWaR2VVivNSpVvoWW9V
3+VSXt/szqorHPGkffpabJmdX5NRHVQUoDkbVaQp3MZnPQqALjkXZdG1e7zWXBxYaSS6j3TSuG8X
mzVIn4LwyrCAXuSlS7gKi6rYA3oo8pMiZaL1hnqUbkjWZJtiJEpyWHLHjvbZYrLvxA3NYnKOBSQq
zc6UoyCJGpw6frjN2dmbX6Z4tr7adaNZngrQ+fsop9Md9HPnsR7w3dKq6carNN5yzoDQiC8DwIlX
ihZq57IVXh8MqxJfqhWE2WabXu7gFdEJL4SZssFq6ovYarZBlDfifY279Rb3PbrdCODWI0rbXvMc
NRvv8nmYXtTCmcgGZL1ysEkktY/c+xabRK9M7bxtu4g8Vqq4Ya11ykVo7bMOd3wpIA+rpVPdp2uW
NvsI5zdnQI0A1VVzB4OhmiSjTdDaIJ7EMje3kR6tOkrsEez6gnRo4R6jCuHZZgtaUx9VOQfSrpuA
CTlJImZmOod5GzsvEEIw7hfxovV78iOdazqEdfyW53Vrhqteb+UB8Ey3SJRRrWRdAq2OOl1p71vY
OVNgN1SeA3QujjEgF6Dn4UB7REcw4hPsCJCXCwQ8GQvxQyMs8c5COJ1O0joM7X4mkr7daZJpNHes
pB15r9V9aoaDsHXgYUJGyL6SQr0v5khaHgcATtQFHORP3iLHFD3nTgNHrMDcGg9sxIFDwZge79tq
UpOAaaYJLxcEZHgOkyH186Sc9S9yppgSNJRorP0sVzA8U/A3ouuyrqomxC9dmleFDcnQQ4BrDNdq
bRWqB0lfxk3p5F20MyqpecRuxOmRFSgbaLIv3TPL6+x+mSJdxVrM6RuUVsuisNTk4sGcRyv2m7Rb
cLFy5eaOLTLWxkthZuDy0T2+TJq6sUJi8mSY/6X9wNYdQycJ8PVWOIgBeBANDzkqdfQc8JS95Go4
pBbhoIZTiPdiynuSZ3VAZx7NC3GAWScW13EIUL/C80n3UCiAWyDJ09DyZqmPn0AmkCVbJbQIuKtw
E7d9+jmpCgEz7pRVI0ygrE29Jy5LqtYp676Scp+Wh4+a1/9hi/6BAH4TMP7GbfK9LV+Lt+HbzxlY
fz3tfywnW+w2FV2Kgf8K8/63B1NX/qlhf6RSb1FjRkdDFfp/LCfyP51NK7iFEGmy5fDj3y0nOjFO
Hyk0SMNQ3vxHEVif6r6IIWh70mVnJsHoRmr2c9k50Vm7O84CmNeco5toHYU3TMV4JcXGCDhbcFUu
uz+lnHwqyv71pnwrDDdU2JHX/fymGumJFHV40xiuKOEyjiRhG0Zb7slGWf2hsP6pzvzLm22//1v3
MVo4AIi6YrdX4uk6BqdIFVLL/1Bn/l/eRSGrDNcOrfFfAeQGazOLnk/sKksyEdhbiF1FzSP82/z6
8lch+fdmNnQRf3uXz9XsqlIxbm+YiBg4TjprysVWsMzFcy/+s47gNmxMSgNhBG0svHOf1EDDoMRm
C97IhcNt7CYbW3gzrNYfvtCHXuD/F8xp55gsFLl5aYoqkz+jfZoKXdPVsRUrl9ANw6fD7W14cL1r
zws8b3918q887w8Nf/qNHO/fveOn+UBDV4EOqFyuDufwvPfD0HXDq1MY+n548vj7yedP3/fcPT/5
pys+0YHHnE789ej7/G7vH/ldcORHHh0eDmd/z29PPPnAQz3vwKuFO5eX5OW3h4QVzz/ch+fDgVdz
eTk32H4dHkLvhYfwEVxv+xd+5i+B63p7b8/78lhe8cvuzMtf+T4v9cK/HAI3CHjFJ//kHg737iHw
eE4QBNu4edvDAp7P620v5l3zw4lvwie63d5+t/eOD8Fxe2hwPLiBd+P5/My33u8qvrzHpwuDPUch
PJzC7YPy2XY889Z75VX3PPR4c7ff323DxEBtz/ZPp8Ld3vbO459/P+n/Uqf/7pB9ukh13MThdCiX
0+UqvNoGKzx9/J//nl9Cxv3MOJxeTuHL6dy4HJTTy0t4H7rXOz704XZ32O12wW537d7w6Y/e1Z6h
er6+/viq1653s98fPY4qQ+57lyvP5dgHx4t3dcU3O+7/0BhWfm4u/jrlt9//7YLUd22ugoO9hP7l
6e0cuWc3eL7xZPdPw/bRs/vdsH3qYmajReMrZaYzIZgU5/N2PA/ujkPOQW3cM9PjbZtJDNhp+w0P
PIW34e12zJnDzAN+uuUJB/eG6Rby0/bcw2F3w3/3d4ylf/QuH6fNmSPibePoM5/C8PAxGffH45Hp
4l9xpA7h/TncBjR29xwxxprjFfockStei9F/OnEe+fuzz3N+P4PQ3v100qO5xdVJZheyKGhV258/
jzmEPVnRdApqagOTzFdjKwM5ra44pCHXP0ibhcqLWYhLIbyw8dSro9r7DUgewMR9vjwgWc5wnGdS
Gh8WbTBeAZXPtPVFomp0gEAPwxw2xx7ta2yCTLPZqO5mnPcpRXPFIJy6ltPiEs86uciEPgsI3qj5
SrKUKK35ubOJkOSa0Cg4q/ZCqoqisiQHs2n8WKtpKIOibov9gjcb7LRJyI87iEZXdk6udg+TAy37
qKoj6G4AbwPVuKV9xAyibKUsAVoV1HWvuT3qfHa9Ut8qLsVTa3F7uSvPMnrrB63TiuoUS+uSe2u8
aSVic+K2qRF/PoW04CadxgHcV6BU4HddREVLTKMaVBEEc/b+LqB+gD2JthRfhdxYFDV0XOlbdowK
e9QUCa1Cqc3bQJUaB5Rt3jxXrUW7CdkVhnKRaCynAZrUTiDHjn6aM2lSPZAJjeL2sabUQZbZcexr
eea8r/IAXYCkGtJySvKACpe9cNfuYXnRIekNfbE8qRjqB/Sd2NfhCOPMJ9NxNEJrM+yTd6JIEOFk
84dp1sqPIm0MhcKitTinTWSnB4Am6P2TX6NdpmJV5n3+QQioP2gBwwYOyD8YAnpW6K/lBhboLDV/
Bo+Sv7Wlgd/PauFu+7B2Nh7BhiZYPigF+gexYPygF5A9Acmg/6AapLPR/Cg/WAdp70ysJVS9TDDP
gENoP8gIwFRBCJQbMCH9YCdgCICj0AJwfMk2uAKw+WLyV+IESEGJFEYoYSpLQffBZdA2RANUaWgN
RJ8BbqByBzen2XgOERw8f1QEJXsnR9y8Lzb4AxV8I/ELDtqKm4Pug5cXFZ3ETXUKF29DSBRdVbfh
YgMXCFp0jpE3bcAJlA72qUgjCq6gdSBSENXGdiWf+j7bd3E2P5Mu2CsuS+fiepFqWrmG0VggaDfW
BROiL290I3LUQ9Yhm/fKDY2RUpx8zRWaMqQOJVPv2htFg4IaQI35A66xzLP0dYamCdqtGhu/XW3p
AryMaAh1tY2bDEkDqQUSHF4KTz1BNA3n0rLV4tOHKmkc26eVrnJGbpHdHgxFcdKo6hXYMCLihwlu
gG6wkI5hAJ7VKztoWxxp+8geyO6owF66Gg2fi2wntGhMpRzjfdtZXXs9oOAuglQqKtkXs6LFYdsD
cXKJbXNk2kAW6UOr6tR3wi6cx1RO1G+KUOwVpRw77K5sh/KmJcMKtWozlZDC1XkTg4vSDBqS6dow
0aX8CwlNlMmIJcuavT0n6ktTCTsDCkfs3M1cruV1ayHhcdVxkG/LVWJZR/0zBdpmFsbXHvWrwyI8
B945zRDwO9jIFA4afUn2UALpdid2iW2pGrZu0sSVBWyVUMsbakfp5NdzPDR+N+tJ701WrlJTmJvE
8ShnRc/UuZrnQSjF6stlW8YB8WuTQWOiQmGASit+c5qaGIVab2kcV3Ei7uky6G5XFByJtcZGySa4
XvkXKNCxH2kZ1bQ1tUii5WQCeGTWZXSMOfA/1Fr0V0JagMTo8jrf07I03+duIJBVEU5/gA3Kzp+y
cXTvjBqEmEpuHlprQqSoRYv03iAOf5UyPac5THTDnY47pXFJ/Uq+QboieanUIumrzNn4GmeUpQKD
3tUpz1qqaZ0iCsriY42U3TCT6qs12zFgM1uHrdyZUUKnMh2ewfy3VKejidZLq033fTEshT+vfX0b
o6u9THlKcx9oONWUhsL6zTgi7vYm7iMG/Y7WbkMzj5v93FDHCmPRjggg6tKpw1qxTejzjSO+dgtk
qkBJiY3Rc6O4qyGFw//rBO0MU6YJtUuaetq3RLEMe6603LqSQRc3iVOr30FbdaS/aGKmVL3x7KaB
sxysdGZ8lWQ0tWGP9oaSb62XR0uVqbONqKwfy4gxYtzBkcOBN5sDQpXl3gYau41mpcOKKcwU+L9T
k3sv6JWQ9FZLOozWvL5aMq156uJRpY+BA93gGt9BQjEgtWouUhV0wJHdiCsUrcaG+i7qnvuaPAPI
SSX9YGioqHwNxYftK6ah6LvVGefMg6tbxb5kG5EVmkTFPliKatXeBARV3BC2U17VXC5lN2mGVvjq
QBoKXR/9qVMmXEFpTSHGNUhseZ3gQjJLYiV+7GQ+GlyVIt6tYwWhf1yb7l1K1rxxzXamPj6m5cCF
Jqv7yRtrOvaeQysocwG58f1IJ+P8aZCmFn4DAPUbFx5DPciZvATcuqjoy5CFCB1KUXNHIxUgV55r
UmlQJsAxMyjyuJnJdPOShcgAfym40hD5ZUGOr/RyqPwJlyd5kGoqslBYyXArxQ53aqw5BXXrhGC8
naLAtmH7X4NboifbRmEFPqk8RjDAOhdYfFr6oHOB+ndLX5J82jk/JAfY6TUvFd+nNrcMz+qlajil
SEjPLSGPFFydlpSV8iNxJfpIX1k/kliK2AGNKtYiAnFJJZym3Edyi/WR4rJ8JLp0NG/VfWeoXXcb
lRt47yP/Jc2j/Hr+SIVRgRneLXSZRUjXWfkqmEhKOH2kyczi0cHZSNOy1PiSrVpm36y6sIgt3MJo
ligpvtL2zM4LYOMLVMma+D/ia6DUkWQDAor7Q7Zq32t1O+Q9CuyLLbGBdXNFA9wZqcTiQMrLBg99
D2k5YgvOqQHYALff4nTSGm5maLZSeqRcPPZQ4TH3BoU+TBS6a/TEHuBJQvtI4xOU6ABUZugMZLsm
JHNhvbTERWRArLfap9bKuGciR2KaWZx8pKdgFLwZjDyZg7Vj5rksPLRnsdTNjTkY4jwvFbOuK7Zj
j979NHbL9L3Cu3G/cfptr5bGSAa9SJXai5j116ndEk83yNn7APE/8iWThAHZbBfTNRva/t4kOxS0
J/CI4x+W5T/vxFmUM2rYK9n5bx5O5WOn/reNUNHAOili68lJsJQ0Guug2cyyP7zJL7Wm7U3QZ2tA
RrHeWZ/qGIWW6PT9uPtwC3QCrdGMo0aTjZ5cm9h/slB9+Kh/t+X69G52JCqCwJQLexs2U2yD3N3J
Z+vMnstlr/TXZtn7005vUxX+7l0/lYWE0qMFYUd58l/uqQWwC//D/unnQfxly/qZQbJGSM+MrWYS
vpyjgBICpQl2kx8b8Vv+xxdk+7dVICKXHfPxx5554/7w9/v9j8m93P2hiKMp2zf6zTfWP+ksV2uZ
MBayh35io3q623vb9pIf/LPvXR0OlDv2L5QEqHZQMqHMsguChvpEGO7ZrJ78/VZG8Z/CXRi++Ifz
mY0uX+Z8G7nuI18tZH/KDjg4Ump4ouxxdD/26Yfd4Xy4/X6I3O+324u+3Z9fEvd+dd8i98BGnvLV
+Za/fv/OEFE02Xs3d0cqInvvsr8L7vY/2DJTNnHvKcPMrhu5O+oRj9c3N483x33w9XDcv99dKLV4
F+opXhDc+e7r9bY3Zgd/Rx3CDY7Ha++O6hPzy6ccRMWCff0h/MF/qU7xjhRn9icKW6crbx/csMf+
eODDHf+8VT7u/KvL05Pv33nvf5gh2wb6dwfkk8cjqySKkZRoqIKd3CdGZ9yG9HkXUj/YCgkBR4QP
e7XVAi5Uq/j0v/8EfyqrfCYA6ZAURMqU8J/8e0pdnAZ/LEQZP1fLfz0Ptiva369YvU3Xb5t25wPF
DO/H/pC4TKKtbEH95MzAUiXhrxQ/+MOlTEgphN+ew3v//nB78p8qRmXnPl29bdUQzqDzzt3dfxm3
8aHocstE9e4CaiZB7QY3r6l7ZG5TdVRd/0Jd68VxvwY3W5XGd/d+wEC6x62284dr5oep5HdH81PB
DQp2p8tcxk7h+WU7sTi1vdetunP311H7v+7RP/B3ybQD/jaJ/df+9f99L3sUpTevxff/+ge0stfy
Z17Zv5/1L2KZTUwmqnWaejL1KbZm/24fGfo/UcfRbHLYqiA535AS/0J4qjDLNhE/Pl5ZwxewYYG6
aujj//qHpJr/tBQ8DbhTNRyjiKv+E2YZiKGfznxTh02A1XXrQ8F9wBn9qcqoVtQyEbINPltYNUVL
1owLQexlcZHUVkVzIJnSQWclP2N7LNkZzT1cfkxTdvaqAwJXPWnC+YCjOUEGMaPkE66lJq0IRl3u
CEIqOnR/JbLcgynUQfZSVPKKay5dD5s7T5dvNkUk4ckFYq8WYZqCTKmj+ToZA3GUi1bIZ0OKlKto
gtXvzUQvbKoXaPFEKLOZcrOmWylbOVZ30eDpt66gRAvdQSUux0OXoyZu28r6o2MWWeHLiQJEBRXn
KvcyvV2SCPap2ZrvvTrXl5bF+OsCuxLWJn4KPkSbMAYpRqDVyxL0OkjdkfcqlQyCMLEldgcjSqGD
2VJ2BCXW1h0GuRgtEIIK4CRzOxpshLSxI0FXWpPXhd0WkRBCRL1Hln0X74Yp3TTMxeq82r1G9JAK
75+MyHy2FfS8Y/siMhxknlxJyz6yEF+7qEMBefJZu6ey3FTtoBmtA5XQ7E4Q2XYvV2bS+sQnqaTm
6dV1XW0xPiSOImBqo856q+LefiJhTCx7J7KGsyFqjjp1SUcJltTqr2Sydk7RlFgPq6WsZD0Van7u
EBbK4D3L6cXS6/UBk0NH/KM8pF+mpqpeEE00t8m4ULZak7HDg+bE7JkAPmdUUJ2smu4ldFvvvKNB
nJWWGF8Vu4jZIElJwhBMlWX4FIuUJWzinoQ/muXJG1rB5ntFHYLITDI5ezVI7FGNAlFMaB8r2OuF
p2izqGmrV8O9CZSKhnq7yYWLSU0fFJWklkOSOv0xI+LxGbJxetXMi3htRVzhZ0TMGcNGjrNrk/CU
V8KHZtzKIFBdxcZultRLcVONEzIkXRiNtqkXRYomyoSHMwhNoD1FB1VQ3LCtN7KcNvprnwoiUJYm
l5iCtn0to8SIvFRZ17PIjOGmAXX5VNiV+aLIDsYQcxraa3zz2RUG+E2pmpNttnZlfrvUE4WypqgV
FDUI/i+KSf8VrnOB0MRBwnyv1wO9WCOeIUSvSMh8op+6UF8j55ak+HZvY5u/KGSA7WIRFa9CQBkH
w4TAA8Vwizqum+LK3iHfHW+JX0bJk9ty99LJU2uiep/nFXTT1PKe1qqhFy3TRYR6pbSnCQrHN7ux
OwGJlVHtW7PRg1yZpyVcI0OAJqT+geCvWkFz1XqV2bvBKGQ8s7CsVZ98MOOWMsbwstqNCjG/nkCt
WwhcJVSRGbG+NlBfJ5gyuX8npaMrQwTN66ne8NR7mSzWNDTkEfSoQHQ/7uKG7EePhEPteraq8pLC
t828TgjxPsQrYmLq7PqrxiFi204an0IoCa6RUqkJFmspjxheW0+Uh7B4FbPfVttUatOMnIYonlLD
zyQHmApS3MjEhmTGz1LldC9wZvLriY3229C3hgl5T1G1UEePiVyxkUojANVq9pci6ay7QqeWj+pE
BQqj9MgeLbtoiQnvB3WERcsHkegfCK/LNOM5Taox8deJwxjg3ejDkegHFXeBrDZ7E73g1yQ1YEHK
K/B9N0ZR+FAYuYwMH1ltMJC7chJUSxK/rdf8EW07XYp8sLsfbYRz2C1y4g+CWiNRDr1ZkwRNO/bo
gmsp/maTpCqHuioRcgR7Pvsu8VU6T83nsvFwZS2WT6lt/kFEPVd/R24b9Gpc+W5FY0dLYJDj9z4P
wrnDF03O2tS1/a0oUIpxTVOd1OOCx5yA/zRTDyHX78B3Zd8sdQmXvXqd0xVlskyBaVUH7XFW0qHn
QoIt05uHOMfxrMzpUz0VVu/qQ1keJx1CeQABekIxhyywSk1k8FmmIMWTh6m5sytECz4IvNEMolJi
VlfzJv8j3W9RUGojusIn08zrPmp1KjOILYiA7sglIPBkEDw+K2QqM5Eez2+RJqnPtlk1d4RExgix
wfWjJwRILwWyxZXaLQw0yiiv+/qx6yHhuZ3o4Qd0GXqNoJI4s7koj/qxVHK52EWLxtzO04JK7Dwi
4sep9pxSvdfCZLAIF9ApUTS7fOhLjg/7xXc8F+aLBguU8uIwLI4bAQaRwoqSf3ZMywWvoyHJ+tW6
oqbbMz9MzVecpFb9zUBIGCwxk30gz22SHzq7VQ0XeZmzXjpuu18jOaVIlpWkURyIQJzWfdZTeHV7
pi0y5MrM/Krm1PY6agApMkR8LpD/7Z7YlHJCNFdbc3OQJyrPt6i24IXF2FikPSE87RZSVGXzXYTo
4VZwcZpcmn7GdFYHB9pwbFXFixiVJQWhWklk7xRNlIZy0nVA6EVv7ul8EQAgL87c+kYvViCUSies
Y4ebA/nySvbCbqm09HaoNQjb40SQFCEkK/lcZa5Sq1jJ0baDdLIkM0j0aqQe2zVm66t9izI26pO5
C1pnassD3R11CGXzv9k7k+y4lWzLTiVX9PEWagOaH4CXrGtRHSxSolDXhnI62c5R/Inlht6L+JTr
hZha2Y2OOiJpDjhgxb3n7KMtLlR9UVh8XekgvRkjjbaZYguKi2VIfj4mCOwLWbS14gvHqOKNkdax
w6NpzHf0caf+iKi273cJLZv7tjDacF9kcFtplaTqPWJ57Q1zj/NCOQyBWlVGBD8QXj3SrBiTgiaM
VPPXkaLkfdiM4VclRopHPuY04t+YRjESsjQ3Z3RAjGfI1RrkHgxtz5QGh9JrpebuAHhnxPBkaVns
p2gKbyVYQTC1qd5hGMVXshnJGNOQDWYNjzpx3znB6aVjBmGIAwWorRDXHb1HbFK1ER7JIwYMTlQC
b3HSlODXaLyoDyq14te8VXBr5LkobURxmkMsTTtV12VqOuQzjDRx6I3RREJXW9h3rGRs6WSni2uw
P9biQ21nX7VqIYmdEWp1P6V5TVJ0ZGtoMDvUz36dkf9Dr1JtpkAnxHlXUgSUG7voDLK72kVc5XE4
fKKIGt2ZIUXB80aZxNcQ+wGCeb3lQalMS1E8NoVSbmJylJTVytGrm1gdnIeUMhvTgbLw6OCGqJ4H
kpcpuaLtQzi4sHrvImK2tI3AC5/sRCJwKhnZRDhHiBUnqPhNJhjSzMmxykU00iOc4WDQ6qsw+Lla
yULaLmBE6iE0gtQeszu7S2W/q4HJheQFay3AdZVMdo8wpIrNwDAtC0u1znSf911EYBYLhY3lMy4e
NCTnbEzoKyVHUrBm7YMT5Xow/p8DJYcEjL7EoYC/Ym7WAZX8eHAO7bkC8hfi5tOGZa/Yiwj6Jqxu
3h2frv/8e+/lUT8ez38e5eQo0hlahrUtIQSH1vZDz6aB56uczsdYbS9UFKYXdLzw4P3+qMBXXQ5a
YMRU9aQWZU0zslo2o4GtZvEtdi5Ku2atn2kxWWQeGfHGno5v+PLrUU8pB99v6fthTyoulVCLkvU/
DcKKOSFoxioSPI1CIvjHPSWxxxDITRIsKbRdq5af66pRQ08q1LE9gy1W9bvfsUp+g6UJHUyFSkLj
elB8VxzRoroOSfJNApeogW1efk8Hojv56+s+VXLY30dxSHhUAfcIcVKCMWt1lNjnkyBpSciZLNHu
eonWwrYWK0jDOfLtDreYBaLvg5F/vuMnQ59URTjZs34bfNEptAjp5j19EVVH7G/SbVZNeWt3DgHI
om93sTpzBkFhdxP20rz+9S346WXic9hIRmFLIZ4EZ/XjjcbFJGarYF/Xu25CymTuBDqWoQ+keevV
/PDKnoxyUspuq6RKUtEngRNF/dFq7HmjRv2wrZLB+LMK9P8KZ+ZRRh7OIrjCOlckwEn9Ol3yPowm
Nw2KciqDOVYs2pz5vPvN27aOsrJ4wcYRRnYKPu8qY4xrR0lJ1FpGgpCsmMW0sz6YDX66bYwCywxZ
I14kG1DSj19ONHMmNhoHXXo6o26vYmebjFq6n0j6+KAM/vN0B8MeQZPhqEJFk3Iy8XC6QCCcJFnQ
gEf+stDEvCfnudmSYTUFnVMpx8iNP7q+nx4+rg80hmFSXgIeL05eAvQUlh013MUonHGH54W7xTD3
EV7w7+6ivWbPuJA3sfaeXFrh5o059ORVuUvTPi2hhk/KsZRDPhKc/LuPBQwKqlgrZnONtjl5ztWl
Sea6RyNRE9K6c7v8W2vYH2Eofr5rPNdAFVRLJxKW4Icfn4pp6WpFmXCzp7Y9BXavZ+eZ5Bj7+5eC
YQMFsqYhqrJP3iOcaeyVQgQ7Qh+GrVFXGeAbDoS/HuXnx443dJWL003TBWkJP17LYs28RJGVAoho
y8Dgn03Elu+mtJI8SNvaXuVXrEu/PSp9QneVP6MkEKeTXixNUxkEcjpHSN2TUtPBQyiVs0ciz7EW
PN35ILqu2Px62J8fRIQL1F4Fo65Yj5NFTSrw6bRm4HGnOLO1ynQ5hEmPl5Nip/4Rf19b/9oPc+66
egKY1C0BG0ycMiZdQsfxujZpUInevlwzZ7wu75S7xlJFMGR5CDYj0QZOgZU+XWjq4l6iw6iUgMjy
dCdbaGmUeMIPJs7vvMLTj2VaFlhRCsd8vvWJeLeyV1h/4mQmEKjAdx16/cSOe2O2S+wcBbiwF13B
2X+oqlL9HOrDFIwSdxboikLbZaNmXtRpaOIZDjPFS4Y0I4tYV956AjvZk2QJmeWUQvDsY0K8jnqO
An8+sP9pMvyDHvq7x/mnBsN/fWnf3qehfP/xvzoLtk37YEW+0Qwg14TcjH91FoTxB+YMWJkEzWlE
M6zzyD87C+IPDUsKcz/eAItd2Dpd/rOzoGl/aDy0K0MMHiUNid9KQ8EE8+PbQMeetgck7+8LKSOe
EIKiScjMHSM16NKhyV/UGb7M2DalFdS6AdKHOuhMzZxIrqCucaCGaZJcuBwLj9XgyuvMzZpPYVOI
q3pxkJUVhnKHBYwIpgoDpjeRb0dpDNGoisWNVJKozsN909Z4XQ1F3hBaYm9q083MnSaGgOjRQxdL
EpTwZjdPECnrT26FKTXIjQY3o5YXDs+8mX/lUGW9TVBJLuWoRC1COi0+ikZmu8UMw+tczEvK/oZY
S1PLhFfHbFb8ylpGJLVmts3HBXL24qYbPe/nXb1yRBGyFcfK7Ad5rmaDfj6mfXszJnCGaIBkR4mk
/puFkzHxG2hYV2lmZbsuJ/LLA1qfn6czwigABdHB0sYHguFU9H5GET7pNflmbW9HR8HLd07R4J5g
+2SjDo1xJJ7V08xC7pVlSa4XCOnHGoXLbZPl11HcZdT92uiyHtYmAdX6pxA7735C93iYlcrANIuc
5BFwYUiJnOiKgAqmspNTpt6jeLFCiKXOI9qqmvLkXG/QUmZ7igbNBhpEBDweNctGlEPkeNZUIGDu
Ufh5CpmrftLH8wUBIstGOFXqN/OwHPoycjcFVYhDE2u3w5wfrbR8ktCWaNlepw4BcZEYQ1/PSIOF
tq8RGweFED+748NySndzAnUoiXLgAdFUT9A+qJMuqpEfI1nGZ0uhNr7Tcpp2dXy6OjbAwMzsBmWl
3W2lJP7UovuCtAyNUCsq/RBnSfm6OHq/QQ5mqb4RU5G05wlrtzkZuW83RnhV1uatVkJYwLKIqI/y
cUTbY4H9e0suRbRdMnW6VYDY7EchZx+rITZWyBUkezoD9VnDvmGE6lbpKR9knRZtDTceNoWsi31K
VhdOw6EKBh4uqseTNTpb3UG4C4GAHO9UEMRjbRWjyOZj2Gsy/VxY0u3MzTCObmJdRiSmU4WIUDMX
+6IRMUIgk4q4YUJKiYjy8VJdiwdE0ksTV9pFrSn0PrxJL40W33lc5vBTbmc6OktyZqNtz7Tr1E7K
w0gAWGB0WRXULQSwup6HN4dY+MCkaL9tiy45i+ah+mrHS/NAs20K1GyeD607J5/QFEMrGgG6Xg8W
0jd6dc1t3AwRtso47ja941S3OTiC7WRmgAT6mQM4xRD7vM/zjJg7rVGAQtT9GTx8KMCTUVznk55f
EhqVPeehALsZhvVrqdPwIK1VXCDqW1TfYv3axZUR3y60KwfPghtB0G7TRffDaBbQJ1pX3w4xOrBx
nIaGZM/e1n1GrzaZyXJO6HZ8h1Wg2Xd263L59bKNIzKRAcuUSoA6q9wsqWkd02GmSKmE8noMBRSw
yL03nLY516lgFF4aY2DHEN43z5aaZ7ecC6QvALt4kyP1r5ZI5kd6fBTBlbhrznFe3SylESMo5IUh
s02/w2hH9GC3iHMB12OTJKlxrRoUyUW1sLOhnGzsR720xqM2tT3NRqPmPpZdbH6LdU2/b2sRXY16
vlBYSGFBTYrSXcej208ePChxp5oElg9FQhNViWrrEdTHrmrR9rIvjYudnk5pQBIzjCDoNu6uFg4d
gqWAfccmZKBVolN63wBKgFsl4pgZM89uqEqhflyqGDxDNOPJR4Od+OQzx1kQEhl91Qy9XgVmg4M5
YSMTebEYk89RGDZUtMrJ9iLqJPs4mhbSoXNM51EqzXs97NyXokwGdk4UYi+oPlp36TwlbFJU9Zpz
SH63xK5xBFpjov10tZuCjf7F1BGmoJFou1D7lWgLRUk4o8rHQcpdD9dkzuobRK7ZBdQD5VOiwCbf
JZMiLkfDmreYhocDcxGIqI5Qya2Y7e5mgvDkqc5knZGGF36pKCnvptlVm4CPantljOg6DUCNGAd6
Vj0JHgBlbIMocEqfr6otnR3GSsAoUxJLfgTMTtCzVAaKVrv4PdC/mvRd96lCa5M0PPmFrmF0rrFa
UkU2nMuSSLARGa2rXmoECx2H3Bpv4Ejk0puUcBUZp9KvQgPVfrTq7l2t20wJVQGsHxT6pZ4p11Jz
0oEypVG/USaq9nSo5+dQbYuLxmCV9usxci6y0iov5ExGu8zqJPXdwoEFlodSPgz5ktCMxJN+GOMu
fwohXPmW1NC994qwdigkk1vAa+r1YIt6h00x2ziK3V4y9dRnap1PgYJ+la5MmXaEuNvpIr64pFLa
hxaqz0ss0LaXAAguRxtyl4f3QZ0DNh/UopXOfOmBne/wSdeBS7P3ckpj5cKaXXpAdS1xgbtl+RUT
zfRo8lLv4phFzU8jET5jsA539Kcu+tqmQl4Qyz1qfhEC9quouULVo1nTqPoVWfIuh83pmZjG7kj0
tPEIfRdfTd852hNCydgfWYU/rVLfVzzv+mbRsv6BWa+5zJLQOdTEl17rDXL4OJ5rXxPUb+2UlnAd
ob13rbPaUrOLoq3ltkuMfV4qdygNpgBqWNJv87g8FlD7oo5tSccOkXziXtIXNYG5rLZPzqhhd6bG
Nl0lzCw7YZV5AMNPvehGNM4dxOSgSRz7wDuseqGhx/tUbW3o9Lh/MigWTySaaT6CBnNT2toM0Wms
jqTKd3DeZLibOiXdwwwLtyHJDHdEf7kblinXp8O0XJP8NF/VqRs/FWNdX7rUpO+0FNIZFKduR7E6
3VL3BGgKegQHfWgfZ2Jcr9DIgLZxBo+TMfEKimh7PC6pB6fjPjE0WGbg+hzIaxgPLvCWHNENbJJs
2VphEwyjAyDY9ajce8glauONQrJ9VQ+OixFLLyfS0vNq3C3C7nFAFEZ4o6lZ9NSV6m4WcxeMmv5G
81d/RnU9XtIxZbtDKPyakEovDwbxuQmcWLsoePBoCxO8vvhF/uaKxn0zQrQqmikJ9yxVyS9ErXop
XYQFQLGsGCaJhGJAk0vrm/YeVKMZjE6E6AE1s41NIwzjl2Gol0NhIZaPcODw1s81QL9QfaoqxOxm
ldCu1nvQg2pK3E46xQpbVZw59aJpGz2blFcV0bePBrfZhF0+brQiUbdMAdCoukm/jkSyJcEmgdLC
2qukc/YJ3KPcAOlOaMuHyZEN6viZ7sewbate9/EF0LTmoPxVwonZJ6g4LstosPHPzFGgZYW9UeDE
BnFpIRyaZ/KpmqRzL9psibZSLaobaJ7sXjkt7vLQTY6mEnX7ONbdW3eY513L43qwaamWvdkHCeb1
o93mBkz/zA4mo7d39mwoR9UkH71EELLKC8YAxx4MuyKJPAv2DuFDrnbWVNonXD739FieFOT4Qe2u
+8waoIceKmfGqtrW7PkGXUzjN8wqSHIWtBrka6HZ1+bbrokiz5VpHCRJqWzGgapLodSPC6WqII/4
RkHu8J2l2BfyZHgzjDbedE1DBduEpRGJs3qgBQpYdPTZU4H3KLor02B/BgICPdViX/KuXKqiOxgJ
fhkn7iJfWkuJG49VrbWS1xQZh2eOnb5Na366xn4A9kR9llnxViN3t2vwYaBW902Uz4DIisZLKzEF
tYq9JiyRsmvFECAq98nuNo5hNHNWSav+WSU0963XYKzgElK0faeYNOTQ12AwVNONi4p8W7TmZyxM
1VmXR8XWUEqxNWhE7lKZ5rdlBJJn7tR2Q7jffW9GyaVRTJQoK3NH6aAiH6To+b8R3IgpzpMFyQeu
sE86whAoVJRRpVI+LO1waFse+dTWAX7ONLByEtUb2cSIMyCeugi7Qs2FbSm4b5oensnccm7zeoq2
jSXLjaKk7WGib3icZeweEpfTVs2qsqMhjQkyzs3jEufqNpXlsBlpUPuDVKD/TBBddJHJOxsy3kHJ
Ha9HJLGrW4d9eNxfO4V4xGKb+Rb6EZKdQw9yFrWib3N3QOPAuiny4b5fdg6aAmBQ+XBWi1RuDEMB
VWdfp109bMylnfYR3hDZJwfbPMdhsvC3nHGrFt8UBzhgf5khYjqy6kIyb6f8zl3wocKfVQ8jEU+k
WE8g3RSNjZ1v0tE/fK8a/KeA8g/NXJsN/x7x8V/Fy1KVL937Ksqfv/NXGcUiUtYVFI812l7E4ay8
/78iZSmjgO4w6XsSz0i9dP2vf0XKgo0V+veAEJgH6A3+p4pCpCyyMBASBvlW1F9+K2Gdb/ykiOLo
DgJQkz4BpDpYhSe1O3NM3Ibjd8PqXwyPcd9lyrIpcdHpzwiE9GLfT9jYtAA2fztRQ4EPCs2vVxSl
+qyW2Thu7KZR2Ju0igTHl0ZNkLXmyIM52zJ50ZrIOjZuPRgXgB/pd6q5bOorG0qZdkbrqpmulXFp
o8PUahSm62VovSyfahrnpkqDehjsW6lXsV+Z9Zjtqq6TQd6OU0WZEQut8LWqaePPpaMqyi02OpfD
c6Tom6hiZ7vNukqIs96dVQBefcUfiWPOPRpFi8jt0yDLkGZ9RQEwbrMZ9eR9osbleNbVIJjurXRW
NU7BPdxC+hgUZs8VCGL3gw3VEMRG1g7hjsl6ul86t0QkmUHymndKLTXzEvxeeUznuY1fBxoZHE36
Rh6G1pLFTrF7bF1V2CIOSkOuGIGfu7SfosWIn4xudDPPGJb4qWXH6G7ikubxseydPgpklM57cLxI
OmGwmtaC2XcgqA6vJVKOXva3BXKp/AXpRFieTVkRhhdK3ZXmIVZDfblNlyHdSFB00TaE/dMci1Zg
4YmQjNk3GeCq+K2Z7J46hICg5Oms6awcpINrPsqTNn2ddLBSW5RkRv5ITjtT6j63E1EcuoLp8lUb
I/bHRJv/SYaCP6+Mtg1vGGHoF91W6nT5Og/NQOQcXmlz2JImsIKDk4zcnUd74DjnmaVSRBwc+y5+
xRjubLQ+QidrotAlY8mBylrY3xo62yz3LI4iEhMC27q465ZGx2pfaF9cntSeO5RbxnDLLsWQ5xZ7
92IHU1tohwmWW4OTHdjnHu9Sj/ASq1nWUTFLFPtG4YVEhKER8hhq7JIE1mbm+fSsSpsupvbVl9jj
G7QyT92kNEdgrKry3HRN0l659jJYz5iw7Bk4bxzp51ZlG1PQZ0pi516LvKI79CxC8RcRg53uYV1J
fUw8vU+x7JaZbVzJajbE4KuOkg04RJOBbI/nakRQekBvF5cXOPaRNq90JxxRKZ5aNvpILjemqON7
BW0dwqokiUGiQgbr7jCuWyl706VvnkQEqXo7wwdHtMPRKrALjdBxZFsDO98qjSpO13FFjnCZx7nf
Na5LDnkpqs5HWjoh7k04fkjCLMwU8s9i0RarTKW51mWXXqV2xU4OK7YIjZeBAN8kXat88XhJzH2Y
sFMzROg3fRT6qCwxu2rVivdEhkO/pGut6bzLalRyVGEbDEK6PanXo1GjZEN1VmwwKgOEBvxX+gDF
u51DzLF5ucYroIMWk7xMR7XTfCNzLGSxGjRvmlDzoKjn7GgEB5pY3YLvhJHdmBknlnqqLzpX/TxI
+4WuSj9c6a2tApGcXGdgEx0m2zKqZU+JdlQJ9cunAtUl25vMH3tszucpcQYh4ZxGI6frqJtGVCRl
BR+TLa7mPlJBj6XPRphkrHGk4nIexUM17DttEMYjccPrLOBUeeRHFVCI80pzkQ6qfCVw0ptVNGgM
dAU/U7JuOA1q4wQ/mx01esYxTIeXrp+KFJe46pTXs5HU6XVktebWQF5mXBUleN4tUIEZe6rGh2ay
QXI+X9pRB/S0FFp0bPLOsJ8ix6ybM3UQs7HnSIPv2i7m+MWoMqW9mPGBJ+c0kkoe3wxdH9brjpPM
GFDiVZx72wVgiA8+Q7LTo9TX0+GsMBVbTN6AEbw/mnltjNepJoz+EEdtVd4aM8HOl+McLvpnTZ9j
9lLJmJDnS4N6mJFpFoN1hYwJNZA94AaHYM7c6Xccrz2T8d7mcciflyEXQb4oLyAFszM3Wrq9iFEH
EKMhrm2Q48mXTER9/BQvViQP7liR45R3Ll+9pxIQIaNb7MUSHnZlyBYOQpI0dwo1asBpoOjynRyo
zrCb7yxKD43DXt4noCmPjgsExC8ZIWLp5KVY3Nknu1QANhiyQ/S4ck4oDrVznPopae1VkBjx8lpw
hqHwkrvVw2jByb1ApzljAE/HZRgPcF715nmaLJ2GhVXVZQ08cZovcKh3z60GOJnP3LvtG0v1HbQ4
2w7sRlS3Agf0Dgnt2axF98Srt+Ohn62FH7SG2ND9YeFbB0mS05NT2ZCH2gxZmbeJ55GdupqNUNeb
VzoDqhLY2ZwsdzYEuVWyOyPu3+P5d+YH6MuwMA2nMPB4SxMPO2b1ekaRvhZyN2jg4Hd6skg5VKYN
XgDfDt1a3DGpd+Gn1plWsWuLpnobmwrSRfB8I5YQgByqIjcuFsz2MZV6GWPcXqz1z9rRolHHU+n+
pF7v1tXEcSmlfbupKPLwRJSamnaHrjEr1zdFn46XGb4N6iZLEcttDQah3yTN5CD+sdP+EzVRp/Zd
IQrtkjKqcetwUk8vkXKGohXbVtXrq7o0lf6LEbkZ1YcOzRZWbIpTZ7mw5+isnVtR3A0NVfYAzV8k
HxQzHMRjHDHR7uu5W53woXTOanVOIvgBUrUOsPaqfbaYc3UQJjmSHHxyiakfy3hSba1iboct+ciV
Hei5Qy0jK+TXdCrVjQnJ/Al663RvZIN5kTZGubd6HMMulh2qAWr5mkCn2E1YlI39hLt5+NrMMoPk
J1W7v6A9o7G7KR0ejSqOZo5XbtGM36QwmmpHfdoqk100tHJbJnBEAKuXJP6GbKXsXd2pPbh+xVhC
dOpuo9GCAgKqljhwYNPTJ1maEIwF+iZxYepRqzSb2bLa6Uj9fDB0bzQGhydMGYfBClyxdGcst8kt
J0cDajEfZxgWDyKNFV3BGaXHyBHKHG1dqqRGGAa+ckL34GmKZzwKa7eB0yutBz21lKz4UyLzn5PL
P7BLmxwo/v3RZdPV//1/2kRW/+vupZQ/IAr/+t2/jjC688farwU3hMRhzQrnRPTXEQZEIW8KICCQ
djoCB9QR/2wEa+IPOgsuv0VnlhVY8GH+2QjWIRtyHtJcOszEQPPe/Y7FTNf5U+9lEeCcOBKRFEAy
DhHWsBv4/3f6g7w1iiF0x8JPq8oh0iKc7ZcEZXy3Q5Q9Qj5xCyb/JjFXCmsaLecZSzZkkSUraj9O
V2CNaUc9TT7pGpHPWEQgmTST7slujK9Qn5sU3ufBpHM6MI0RACrf6iYraJimsTyTiztR4xkLPBIE
uOkVbv6qnHdEvLTFJyct6xcJ9zj1SH0zRiThMdFEoZrEmxm7xU2nmUPk91EXvZZGQYelBBsR+UY7
KOVGV5fuSYrcmc4ACI4PLUwYuKM1kWmUH4Qxb/sumV8UEY/NhpY89IQiJ0DGMynbwbWv2Lftrdwa
0itGsbX9zL4RmuLYprpDS5H+yAXHiTbaNZmu6nf6stBk8zTgqel9NXTs1ehqi8tyJV9T64WO8nkq
6GBXbGuKrWKiRO4DgkM0hES6UpVtMCqTO+9SVZ3bwBmz+FnPYvMOhKkGGGhWiNUZZyMvNpL20dlS
ZNbdUsKs9TVcbxzrUqPEoKFYNOwSaYhPYb7ys0NLN3aZ2VR3KmXHT5wVVGAnsIOfbT3JX5cZaBYJ
JCr5Z9bcsoz29IZhaC3UQ9cvMMHAlLC2kOEb2lC7e/Pa7DpU6gj83+YhYwtoZ/pLG4f54mkTvbSt
rBCce/E0cOqQDWBWP7bF8BmpHcwbOzG72MfH5Mj7pLaiw9hoVXoVUTf9mtOcE7A1jL7dwFeqXUpR
9mj5LqfFPKDn5chLOqt0F7VmNJ0t2V/Dc6zX5GtQhc3Q1utlcpNoS1x6EFoadm4Eoz3KZU5aP4W7
RMwMbZJL0VYze5N23RnOJKSc6fkgCjrHGPe8spHjLVmCIt3TsNM+o35gqjdryU0gWbxdoyV4OCgQ
gx72a4mLzUeBTdBJzWHnxkCPztfgwI3GDZkihXA62UJDp5RHsi3BHOm2KxNVpWEgQR65COZTttdl
tAvNfj1U4oEJg0hoJDHMIuJZ1FpJi7uxq544nKZXXS+n/02o65SZMui11qkAsCTWM9wzNd2l+pg1
9GxNHEF+NcR1dGDPjFGC7TZ5CdMy4i0CZzF8G/u+AnO8tNqTldLzDwgis77VHWzVTUp3ApBoP+Qv
tYUj0RvqkudLm3V5XQkDRHjdx/qFQl9NkIMe4fZY8mEhqmBcXEgkRedchm7DohzlFMrJ5XHMr9Hc
V0lgUbO7E42R3TmdWgfsIuNX2bmLds62RDw2DRs1/DjWOHOrZffaN3X7QkeC5nA0OPaT27l1v6GK
QHajhFKMt6SQmhFYdpm8Np1Kgk9TRWwb56QSbuDyGtCfwBv4oDW1PC74XD9Sb55o9yymNp2GEqUl
SlUQMVYB2ruZNNUnivctQ7aD5iNs8wq6qub8xpE3SJebd+vN38jxT7RzTPxogExwaHiN1/DT9f/f
DWbkdYZKwaSREUd1oJnZG6wmGZD0/RFJ5FQ499dQZMJZLsU03TpZIdzQEvpioTTRtH7W/ULVrB2m
V2b/3CDCIFRqtjcAyL+u54OtJBPs0PZx4o+RwG4cd8J5TB3tI636ierzz09lW1y9g3aQ1fLHGxAv
c6xy2KFNDS3wINSc6qxoyt9TRq7fKYvtKstDnshXe3LtOUevyejo0RIrQR1vxsTou3jDrrW4M69c
RzaHAnTP5tdf7okO//uTpCIyJQqPQW39RAVqWmmawzKD8b1lyvPZgfqlX39wad9jhd8pD38a5aR6
mZk2oPd1lCGIfRJZfPoVXgks88OR/u7NeH89JzLgois7kQHS95oNrmm/8UKfE4rvBHbwsnvuggc6
pv+/V3fyfLhtlpvtenXKHpiaD5HH+yIuMKLtf/1d6SdF4NPbeJrayzktDs2cgfQdPEuPzftGu2y4
iVpQ+dYGh5d31nrH3sPn9vTrsU9dEz+NfSJ9FqbW2806dh18fiwDohe8r8frl1+Pst6pXzwnxuk7
gKxmUDMGkVv0ff64qXbGhR58lAt5wp0BF/Z9k/yvp/47DOHdlAb/o3bZUK7PIwln3Mhk87R4Xx4u
Y++6C14w0nvUfP/Ur/5be8TaKPjl1a3zzLtROT9rZrrewotm85r592/W7uXxzvB+fQ8/HOZkvnYn
BFukFBGk4L9yhd6X0jt+8+8ePxhmnRl+9V2dzBwjODCybxjGuNOP3WN12RyN1/AaHgJlmvplvi+P
yZVxbd3/etwPXvBTAblDOppTrjfRsT71tKTx8dV67ltlFij6R2ncPy1Ipw/KyXQC1z2ftYTR2LQH
qj8eO+8x8eYrgpIeAMkdfn1tHw53MpMYBsbUfB1u9l+XrbpT/WyDXucyOYRevvsIc3W6sJ9c3CkO
iiJPJOOJ0bRSxTwbokqr2v44ZOKjkbSPhjqZPYhNyvJuvbDCw8m814J7eGjeW+gRpeVVW9378BX/
4DlZD9nvX7ZITonN2YfHk5ec5CXu5LCH8ueDJfHrDWaHwPEd/6O9wkdTy6nTIHWQiMmOcdelLr+q
LsJAbKVn+Q8oBQIwWjOztOp9++gWf7CQmyeTy4Q8KKtLxjVviL4DcvmYeuUx/GC78LeTi2aQla2r
lkA7vt72d3NY0qQzajKGkQEtxcd8G2/H7Rxk2+6g78OPZsy/Ww/ej3by+nWZU5Tq+oRSu9po3FAj
cFkZTN89K3y69TfddekPu3Znnrt/vov/KTn9g/LAr0tOFyvQKP7v//1Dsemv3/qr2ERFCceio6Ls
xypruCqz/z+LTc4fq6cAXye7cxTra0XpX9WmP1bnFN4mrE2OQwmIp/Sf1SZN/UO32bq5tqOxyTZU
93eqTSevg0FRC9eZAb2aYX4Oq9dTySevZAW2QwF6jNow+dQsc2EGaIHN6yYbaMqCoQaFKfIcQfQH
M/k6ob1bHdfxLYpx8JQ4p1nfb8L798QgiNEcpUp4t91dmxya7uEmQGY2W5TClCSsuwys5ehBF+3k
lpigkASbrmse4tYkMvbXn+ZvbgYvq4bYkhurE6r+40ur55QEKEphtWhiIreHXr6O9qwgVMOZlM9h
dtE5j0gA4t8Ln/jzJjiAdoBL6fT3TuYkFf+f1dSkUVuEhVW+jEJj2bmDRmbqry/wZHn5PhAtYZ4q
3Nsc0U7miaIs07CniUPzsA8fhjk1xGbWXPRDidmL3e8PttZKHXt97g3rZC0Dnq7HCtQED+sB8Y1a
1V+OpVACUjfHDzY7J3us9bp4JRiGk+fqyFmv+91sq4WmRcGM68LXEX5NpTY/OFIMu6zM830KLPLp
ty/NRqGGxITe4Fpb+HG83FQS8MUV2eyVcNb4zNBvW3TBFb/z+1+ZY+porNdLU/nyfhwqsYs66mTK
5ns2UVYAou3BHSBxP2g67KHg1xe2PuEnryNl51WII1ZE6Tonvb+RdGvsPOqJp0E1l/qAIDrqas00
ojdzOv2rpMWj7hoOyb/n7V2/QMdaZUWaoeGlck42dL0cNcLcBOMS6t17U5+Yl/qsQhkqk/hhXKFc
zhArV7++2r95HSjyUz0TvOvCtE5eh4E010IqiAR4TGeyAnnL66yhVia6/8veme3IrVxr+lUM39Mg
GRyBPn1BZmbNk2bphihJJc5kBGfync5T9Iv1R20bp4qVrmz5ur0BA9raVUEyIlasWOsfTqkmHFmh
tBYYgoBNyN7Sbhcx9u4wrkLZ7bKERb+YZ7MzeOeoL2e7sYq16z9/NQ/EFX2Olb62Ta/U6Mb0C4Fv
1q3lXJga6lHI7NbvFi8tTqzQNTpt1wwMaaHzDSHSGZsLjuUos4MHXgV6nBa3VpMtgCDs5PD2Cx0d
BViXbVLzcigwvVyZeikBythEE5VBmsKpwrtKsDO/eXuUYyvCgy4PC8/lCN5WDlrS/MaZsQ5UhT0h
IKY7xXxuQSiD+QTdWZ0IkcdWBc0ei+aWwTn7W1/3WdzS9cVp+pS4pXXd+6FbHspawYuTSG/hXK1O
TNSx0VZJAB/snoX2wPqJn42GvDnuvpLN3cwqvqzSRhzaPHYv9GmSV8u49Cfe7siUEZGdNS6765hr
sHk2Xu6awP41Oq3jIKGhLahwDbsYBcFTFYMjs8YQ6GN4NOj4mJsVOEnLSLqUfTwNNAx2ZepjHJrX
XgoMImrev71EjnxFPqJlmCxCNAG2tVe8DKaqi70Kg9fErnaW7qsfVWPB8Is0itFBMVjJn0dHTmz8
yigvEyC9TZxaag87A2hmQTakUYg05M5a0eltb2t7C6mgYJqMcff2ax77pgZpoc+gEGdXvuzzyUu6
TJOlhmOL2xZYrUQ5NrSwHHPLPHUjO3LmcHz/z0ibM8eReu81uH8G/uCP0B0yIT4RrxERH2v66LiR
0v/bL2blnCpbHBsZQQkdPU8biTmxiSll13gF3oFAy/EhOMORTbvHt4X2lt2q/dr1g8eaRp/f/rBH
B3XWCMPOWBXBX37YBpdNI/UErTDkADFqKfKP5ex8TDBLRTlLicMI8+zEmJv74Xq8MoUk2DDBUErd
qoK33lK3mYDMW1YKISQoMb6cis9zlGQ/6lKU3xAZhNGp6c2FOU6nFBRep9VIGbBRXJJr2NXbOIC8
ogsDFC5p707GAwSTOSiSJn4EntTfYFgS7bHhbldk54lD8HUAYmAuT7bNMegx0y8/ddVh+9xNVRVg
2SHuMCaK95nIzIe3J/R1QBB4GgIkQJ5IkEqIl6MMbtWnuEsje4p77rd4SYZkR6+1rg7YDqtv1AHM
n2+P+PqDMiJS8ivt3KS2sBkx6UoNiSeSiRKNHhRVXaP/ADEHFYImt9IDzBJaxTGkuaAfBfyYPx99
TeiJfSAlOEk276vViMJaZKS6lPR/XU0CnxntGt9vDHdSI0irCMUZOeHvdD4CNHt6e/zXkUlwnKBY
S5ONW8y2guNA+SFjJl6YUy5gOYjHXFp4fgOKOvzxSOAwyALsdUDuZi/flGuE6S8FB2YV+W5Fr4nE
jgy17ey9M9jYQb093Otdih4QNwpSRPSexLbH1OKcm01dy8kCL/wnZwk+CRm6tXmE81ZX1WdxOauv
coQHmM3C+vT26K83C6M7QNDIw12D/21etnegLLeMDlA4uzJWXRM45eYfb8l1FGoaXD5R1DM3o7BD
PGQT4cLCEvNBlFu3gzdpf9Wk/m0H4eireBiaWoyFANsmrrcwRejBMogzLvIe1CLesrT2h+SPEype
xjcp8qFUTZFncy5DlLDLseqh0MNI2PnKyc58AxRN47vTped12h9np8hDcNtEAMkAGrcdr43NuVbr
FMHvEfti8IpbOx7GfRljFfz2aji2FtcurumZFvejbWZaZqnO1Wvm+HfH9kLPlIUXh1XuzHksLiQC
a5dKdPaD3WTyKzD3U/3JIxGOc4KrCw2o35JILxejXeCV0ujk4dFKfwgUwL17yytcD0cYt/lgmlgn
B7aVqg9WCh7wxMu/PqIJbgY7kQazR3Fis36AAEniDqKpBsTbr0xGCh3ZZDOGPQz2FkHsPH8Xa5P9
HwQcBvaxgFkBZdxzXr52l6bQ6wbuA9DXWngGnn0xeEB4DbfPT6Sx3Oj5Zc/vbatuCXonXKvX8hup
wcvBYmJL75kzQqa+wqMng1T/iAf6hKCe25U5mnKT3u1TTHrMM2AW3lWtV726STnPm0NX4FB/puEF
/Gsiln1F3xzjZQd38eWQmsp7qmY5V2HGL8EMT5bRRYHQj8K5Kmku4kGHGu0YbUeGzvnWBHOfFlHo
6qN1li7TgKN41A/gTJpKuvuS3CYL2iGxf7VLltGvNjC4OfdansYZTdfdAe+wJSrhZf4zw++cdons
JiRL1ThoYZTa/NpMd6dH5aTFD3Q4WygGfqunQZZPC2ZJbYtKuNFzZwLKYmnU6WNvvE7KKXWvDFeP
Fb46EFoPUH6Xs8aBKB4WGnquQMh1pLWbrpHvjGz2cYSam/j9bC0mAuS85veuIwUkDiEuHiw9ggC7
2YeooqHE0YeVaWBGE2eFv5qR46lopHN2iVUwREfL76rrxamcW0A9zbSHEwLQAcd5wwZztJg3CfaB
yOY2ne1TMeyMQ9KPQ4RKlQbC34trVexaq+8u9c6GfOlyTdCwHYvHh46LWBdOQ49u6eQVlYks9gQs
1sXs8LvuSfDIutGV8sBJG6G6bkpwwIDZLB2p9Wp6KNzBtfcC9Vk6Yppfy92YYkwYjlmrv+tnH/UY
2EjdQ1JEmh6aIJOuUkn6T34vCCiqNNDzLoQpkQ8uTFwm7V7/UFYOOldEE4nYitZ+aWq3+2x1HrK6
LRKX+NJHK5FVJJHxIxvwa9wNwzyiRmhPoKpElXXjHuZLMx1gbUAzyvU8hzIPZztMm4TmJzoC0BXd
KcqhJ5V53u4SF/DXbjKqaQb9P7cY29uY4+0qSlBAhdXqPZ+Zi4a4eQ4ADwCYgebGgqYmZJPYEQHq
/k4HkVcu/Z7kVYMogWzCZwWjwgunuVy0necWfR8oFFbU3iqU91AqK2lhPmrqW4TAN6ohcbvc5hac
u9AEx9wH5ujaIPH9yP9Q+i0IOTHYVnwosbrD/gqGzhV612LeJYs/6iifj0qFfpNChWybuf0Ad2sA
M+pM/Q+5JAp/P+id35bSTT6wGvgMOhjLAj7r9MX2sxgdZJRITHS3JwvvQbje04VIBtPYjfHYtI/I
eerjL5A9QoZIDY5aUGAiCXnFFaPcRUgyFGdD1Rr6l9KK5sdWNjjFg/JK5O3Qx1r+TkIGyM8qe2lX
1lPLvSdBw4eWnxHVzRlKvAYldW0R2q4unKi4xLlvns4HW6biajDTOAHXOjeIxIzg+L7E+pjeJ5Xr
4+BdusoLYFTkfdA3uvcZ5ybX2FtDqcGVcvQC4VUqbrgDLo17t2pIOnddVhkflEyQKbcRxU7OI3tE
obnpIYLdeAglFl9iUKX53sxQxr7vKjQddv0YqZ8dghxip6PdyDVG83rxpFhFM/K/djR/61Dciaha
JvNK3EedNsgyzfSv8BtvHzHqTMY7PKuq8i6Shd/fVKISnSS+R4v0gsp2yux973go3s8oexcXGRHQ
DQrilHum0Ki9mZDCBjCLArJ2M9pO0aGtYVljmPVK/4zJ5xChKO6bRTCzwNVlDNi9O5PxYqGmW3Uw
7TQkW+86uxv8PVA/hJM8VJvpl4+YtwFR1SCkLLqTxBhIzl30CTQkfqatUxv3Skp1nzjtMJ5lwK+7
ULhaco0BIY6Ooq9m7apISpV+VVApk1ufCzuqu1hQyT0iNK4456z0o2BEmmi8QxW88B9Vbwux9/TU
AZCGvHsdtlPWa9ddNju/IjD5iBunrURHOkct+0DXanIfKmgV7ZXT5YUDbJW5P/S+Of6yyihvzqty
KF3sA3CyYEIiN7uIEar/oS+DTPOAxK3/RDIlvRDlmRLBfNcY9aDsNelewSxcyaISQ05o+5P/Dio2
qF1zWNDMVg13gqAb9CnZ2XLQU9jGndKxqTWH4sov/dK9XKHc/gVMmvKrC9iZ2JCpnjSlq5vibJrN
odt1vuZ+rjQqfXCNeKUwam39O2csDdsU7YKLJlqKs9GOkPHPHT97mlt3/uzEY3yDBUhy5+t9eTAL
P78zCi/PL5yyV2NYtbDPaMrN5nJo6xT0bdlnQ3frlmjHo8SNUnVgt9VkU8mYZx3Zi1EOIYSn3ghm
uwKXJ2GkjQcDP4pit8xE57BBN6C+IBtY5nBqCj8NTbu0530hgEPflph4lOdGzwEatEnquXvH6pZL
nErz/BzC2qjt0gVsBtLtWozFyJLCeO+KkrlptFxE+7rUwOk2xZQWnwu3FrgbeI6El4djJA+Sw+i+
QPoMtbLKWndDzWE0huzXBNJUl0h1QY3Dej8maefurdQZWY3WskRES12ZQYuVRBl2iIiaATkbmBoI
AMVVO1eRvXMQEQMFb6cE8YYO4m1fkWGEUlddBlEDj1FOX2t5ijLNuEFqpXC5XfN0uPfG1b3Bvmiu
E2TM79o2js1VZEJCFowVx9gw6YXccw4L/FfmiFwK63j5uc5086H0ZtKMBIuWd6OwUgk11gb2iqxu
QvEnjkUfIukgftH/cMFgxNSGgA7LeAoivByS92XTVmgLQB0MMyDbemChmvNgYYiYHwZN4pY4JGaK
9+8AI5/NPkzX1jLoOAhPY/wrsdzkMZt0jhyLjQVeuixobRSxh4olocvODhahvUC7Sp/6M87g7GFB
RLsInM5x7lxbOojNDSs+ubSl/w0fFodGyeynn9BlAD4t4qGtd06nxnuZUZiEudlN1+hT0ERFDR+j
lhKFzvsRtOp1Ks38y9iP7vfOFDaCWAibfWX1GnGY2l51OUUVAiLK7lWOg+qqp54uWEWGnjHHApax
qm9Ho/FvnSnWcX3BneBbg14436tr2h9QLXW1J6F1KRUOThVO7tJzzOg8TDDlxfALlbTmYyX76hdS
cdZlaoqohZRV4OAAxH+wwlhq8Q+cTAoZjJJNczAbrDXCTOnDDboUyWcNciZhMY3ghzVxNzo7/Pz8
+VoYIr3osasYdnJOxhEiWZrhnjFUrC1ZOOpDu3hiOEervilCvyXeBz3m1+3ttLgJmRfUizYce0Sm
w7zMkX+wy7hSpGEJnqh6JYFOa0vWLIGZWCaMKmDrKFFx7Rwi/DpaPjpKk+iAkCsMKE5BsBP7SCZQ
xEfa+DKku8u1RYN4mSFE0pB6LtaSAE+38FVYmgVBDk0f8IMYILeIc1pGzZfWI3Lvqsh1052mmYU4
eEYmFmDije7vioGEgTNjyB61JlmZ43medvvFgxJOgbHn19Z+5Z27daYhxuQX8xJaxmL9iseCccYy
coxbE1cIQJj4VsABnRMUpivDQismHlDkJ1mdEn2nLRW/fagENHICxIR4PEffx641/AX/DZKOMMaX
Bs2zucmsQ4oxSBfUKu3JX6Nh8iGLqK4BIdxEnxKcR1RICoYl5jwUpJ6uWLQrZGrQ40y8Wb2LWjdZ
EA0HIB5aVSPXQDLGywG1/UruJhpT17OqLLnX8kSOoXQaVw89ayq0QBkLWv/Sxt/l0vNT74n8jh2H
XTD5eKf78oPGjQvbcNqu0IARNwv0tE/fiyV1UE9z3PZXXg6+FWipO1Hq7xAYCZsWo+AAofXlF8xX
/7KaDNHuvXoS73J8N2+Wvhg/zdKWM9FLK889nEabsOoU388p/ewizyLTO8AncsyLwYj9q6lOeAgn
9sxfsD1kEi54EeA3i+oBcgiNRtuXU5MLQqz1cYL0PkVI8n4bLhBMufynXSK2S8jLUxlieo4mI7os
WRNynCViVyGDOpxrBjyjIMMSRZDV2eMHJHNkf7YMI5zrvFKrvadtscQinhw13Xl1BOkmDaUCG+fl
enGkDPEIncdwHDWsMlj84qvXSJjHFkGP360lpRmYGFtCtcYqmjvY1PvXWKJCQnZjmwUNd3deDajr
9bH6fvqutw0DoxHNUm6ylGWZa5w4JJLW+GFc4JHeCy9G+q/2E10wAbN6n6FdDIGpqlibLoRWZObj
xHG5HbTjU+OqBN9inwes8JivmWsJf7oydQYeyza6y8Cwf9SniptLjSADVwbXz8DrQqoYOLqRN+T3
QVMNK1zUqSio8QkPg/Wr2RNuI22MaPlhTBycQzKr4aJDXpU8ZKXAGhUhQB4HKTcMXGKL36R5KNVc
YIiuxxdV5jOCWDqMUTnt/OumHEsE8OaK1yHP9TFUX3dqG40Q1NMCZM6e1Hrdh91oI6ZcLt5hiCc1
78x29k/gXTbVHagRUMooLdnQ6VAmtzZ1Mzsam04Kt2SjWVyPCnTY+nM9jjAmyiKoqyCVuItZ0FQn
XGaCtytbW2jeX6OvjYHf4q22tSlBVrpybCrXFfWCWSV7PMwg75Z+Ne1hjP1KJT8ZdI69GEHjUs1G
w6va55CCg6ZEvTNSTvflxBNt6pWvnmhTZ3bQSVVNiUROjPgAoRnNKG5mJkm690lJqA6qR3O/6ep4
XzA9uyrzZhw84A+bYwyfY7abz5pgQb/9XJtC+1+PtZJaEKwHoGauBaRn/VuFZws5U0b5u+R+HHgw
9UL84NcuYFs79Ynq96aN8ns0yposCGqpJrLrL0eTI1piuQFFfc5s77uVwgUMorEc3SCd7Ol7lNfm
ifLtsWWIo4CxKuTTIduWU5G9bJEB88gtVWXeYwSs8CczPBxt9OliHnS0GhEhxI3OOYE72RRXeVWL
QrtB+88V8E/9TZnPq5EqXT3hoSXNqBTWqAz4t+zE6c5XZbqKnC2cdgoFGfmxtBpzuBiStlMnpvf1
6798is30zo5mF66EKdRXSNNQ2J1vZoBNV1NCE7KZVActXql3vl3Eh7cX1uv1zsgAHO0VG8ucb/Z/
O9s1uTbrveD45LaamXfzIusTXYDXC4pRcJj0UCZH0HzbJWPoVPiKfY4wYXdpGxzgXmlcemoc37uY
m5xYTa8nlQYnywhQpkvLfEv/Ivbavlp1rhZgpd+0fpX0yVV/5uYjokAatJ5Aiziu7K7fFXlvnL39
TV9vVhqQxDSsCsy1i7OJatjgRX6psX2ajptrN2F43QvCAr6m52+PdGz2eFOL2seK69iiLUbAIxaC
x8RPBNiboBW1Vex0OZntiWVybALJ1w1Ac1Th3W2jUfr4Q06ozAWRMtVFkcUGlKExpnjhatzRm9x1
b99+taMjrqY2UMvAA2yXDArzmeIWje17oo0/IjRXEcDIXMi2yLHdN9HsnUB2HB0QT9K1k0kQEuu3
fhZiR9fDHjPhFbs+wQlvTtrlMhNJv6v70b5tE60/0do4NnmACOnDg/vFamJz1KS9Myq8VGBMKxc3
9g4ZSHNCoe7t73hsMVJwsldUHxO3RbshHmfHs7fOnDH4D2O1KBHie+dq+74ooU+8PdqmkfE7nKKt
xWKkI/4aUYEcXtGDo2LpG/g1pkjmUh3LuREt8hoPRFIj0rPh09uDHomeRC5DWCAlORx18XLmHEcD
CITDayB8qVAY89Kzlst/INCwUUXk3eZ1auNjmabf3x74yNuuIdNk0FUxfmuaEHnI9XYgeYM6H/Qv
LVxv3O7yKL1j8RjfybvKLhgNe4hObPsjS9UFoix8UCSM7m9emFos5i6KANNGvffVNHLo76o3hvNm
oVYXi+SUicixF30+4GZv+HMUZ9UaZ8y4LPTQKlBoR2uwyPy90c3RD5SG7SVIjJ5/8fYnPrJJCOEm
yDx6rczx+ime7UokyzrbSqj0oqEPLAYJ40OP+OufbxKcUcDamixaws0m4WnoTbgdVoxo8srpEhK4
G46UZNDxsfoTYebIpwRitToM4FZArrPZ9arQzWW00UmoaY7ttEYTZxPaSkWAFrb5IOu0+ZIb/in4
zZEo8Ls5DpYSFDjn4svPaMsKx6aBLZIyUzu9QTi0ot56hmjzciIEHJkxXxAAgBkBAaQa+XKorOnK
pl94wQgvsJ3fIf87KvsUkOn1KCvkZEXvrrA4x9+sSH2gJJcqMHFoGPR3+ZhXezfJhhPZ4ZFRyI0M
/iF24tCz+WxIcUkKyX4VWG6D3KxR2egqJKcIWEdGIbG3Xa5gK/Ni+8WoCQ4TNwrkEWZ6KHdNNuCq
VjcaQnRvb6Ztn5nwDBADKIGAcADyY/s+5Zg35O5cjzMD5+AJDn6UUWOKbDSMEtDDsCCnDCWDQtpN
daWTdH7Gn8+huTqYJdoKDTqmP7zcRArEniJCbDFpdkJlmiTlohu79C4HYnXKnObY9+FuAAoBcC53
oM1ci8GyYsr5q7SIjnNiaWJLnUzf3v42r2PqasLEEUIlmkx4C3uHAoTWBf05qpl2fjl0GZifuMDS
LpM6es85QgLz17eHPPJeLskgCa6NcRIT83KnpJUDeqrg7iGE5PKbePIg52navT3KkRdzwVHrgHFd
DH62h8UIkQB/ZAUyxkf6ri4S97pE6mkXkSaCDItPgSqPvpXjrKwdE7zWdjXXjhkN+Qpw1Ga0YvTS
MQ4tWdAfnwsAwVaKDtdT3XF+i48+Oxfwc8jGuuTGlKjVY1Yrmnhtm4P+O3v7872O13iOrTJE4MF8
i63zcpIS7AjopE3oLotqObOR3/tWaP3cXmsmV/H7qB6EQZEzoWnx9sBHviPeJDpmbgi+efo2PaQ0
TVl/4sztCz269yYE5Vr8nP+4/gNyxQLFB4YR9PsWz4wRdBfDRILjChnikBQTUunZML4nw1fXUiuo
v+DPgsFsi7zo2y94ZGGSkgK3J+Kh4rSF9gypnioFri2oHSv+suJiviy9b7WHoqbcGTj5aNqHt4c8
9k3ZZx7bDm1a21qPyWerBsJSlph1BzYk6bTbzLbwNpZyPJHYvz5swUrBFyQ1o3YCyvblKLWcXPyr
e7oOhVed0VYFugF00QUFUxSlfWInvM5+19HADwHiQ1xly5zpBQBmjH+4wXtU5DPHWptPqWaFNt3X
m6qJ5xvsRbQz+jzzhz//nC4kEAb1DABq69559jndFMHV2LHRZV9sGnOliz30bDgnbvPH1gmKxaT3
HF8Ifqx//2wUeoYSbiJTVTqYFrWVpn0TE1pWc26p80lzTmlWHFska9GBQ8BEx8feLJJlaeu67QEQ
RVaNjmlndTj4pgmOjSd2+FZjZD2OQUVyXSJV4v+3bPYUY6MoS/BZqZdoGIMGeFGPwZo/Fee2MRfV
vs9Ru9QH0aD+XdXyRzP5SOjOJZi8E89y5COvSDdubnxjg/Po5UdezFg4cgHPOAO7x6bkTA7zITNR
UUXYtdy9vW5+nwHP8G7ri+Oiitucx7vTld/kiFPpJ7GjtzDp2BvlPh06/WacCnEGSLw6j7x4xV+p
9ixB9QuGhYZtQRDPrvFBkIX0J9bX8aeBe0aC5xic/punyZyuGHQ6nkGEEC1JTo9ZxUqRsewQYcru
zi4TDUfwgdZQgUMesjAcOMPsAUHM9D8D5f71ZZ49i/lyHhJA2hg1wq0CrBfv4UwWKAWZp+5zx2bb
QrsHxDjYXK4EL0epV8sp12KUeBWytxq/fRKNym+GVo8vh9aYTqyuI1uKNMfRiYge/I5tRLScRa9h
6ABhtYXaN9oChHUuxxPf7kjcZZSV5soFCwbzZg1PoCuLqefmAW5EfY1witwpZcaP0JpPHZtHX4hb
HCkjRzOEoJcfENNHlPINDucGrf1d1NAhagbzD8nIvxcDmQekcKpSa/L2chQbcxdpQkoDzoQ/w6Ga
JiwnuLshy/z2hjz25fD0XQm7vAtR7+VADXm3B7GTgVD5PMAqyHZuPbgPMonF+/9kKJsrKLEPhcdN
NC/bqQWEwyTJqZN3CJsCKMm9Bq93AGXZx/9gMADEqwE4955tnLFK+DuOSZYI6y059Ng177EJS3cD
6JTD20MdWxGkM5xSeHHDut2chbi0WE4LKoxk3i4fcj31bh1vOEWTOrZxkQnAE5SziYrTZkVUxeDQ
o2TdVUBm9aBHuxaMUDp+Sqh4HWSPN8Xbr3VsZVA8tAgVsBW5fr1cGaJDCr106A9qNRqwGWZ0H5sM
AAN+1MmJyXr9bly8SLOpxOBa8MovYIT7VrQlKAvUM/CxjtRD7TWX4O2cc71JhxMvdmQ0TLxJA6mi
UT/wt/PVCw0uN0beACmdy7j0tQ9Al7I9RazlPlJJdCIpfL0+nLVUZ69nPSHX3USMFD6ZZWg1GBJX
xV+lsYDHEeb47u3pOjoKLQe2McURaxtoNfxkpkUxiivj/BFZzuY2KZN/2pr+W1LHkW+35iv0jegJ
rLzSl4uCqjw+gR7orWqYh3sDIXs0UKsMm5BydD6bKip+/fFrsQQhqpjUR2Bur6/9LAUUTtEAPyVv
h3lPRl2aP1GO/0MGMNGWpN0iLHHXciBUbWbI1PpIVgtiUKIWAq5lVGpUq60qbCBwd4HOnJ3IPF7P
FnEdUD1lB0hc7m8JomevpQbgr/NAf3EuVH/tLll0o/ejGP84ukOoh5RLF2WN7lsOjldqxuD5SIAm
okNAFmueRWLzgEHZKfWbVy/kgK+iiLrSluBMbClFsb40Wq8rGRhqTr+WtSb3eZecqvcfG4VNC1qB
Y4msYhOT0EC10rpAcmTGDqIOIE8n11Zqlyeuxq/Tc97GBxxBCXDVs9gGWzxga+W5jIONmEBEvvIy
cTXOYy5uhl4Wwz7DODLf68qW01kG2s6/j7AbNtEQV3/e6uNoseHmckhzSgt3E6/0mQamtRYJa3f0
dr4YnyqhxycKhEe+rAX7BLo9zfi1Hf9yn2W0DiYnYRATpPVVliwDcrlx9Bd36v/rFP2dpbJCF/69
NPY9OkX/57+/Pz539fnnD/1TpkhYyBSxrCHLEoaodrK6/ylTJJApQp+Hwi1SVjSYVzjNv2SKnH8A
4lmpCRxnjutQb/0fmSLvH0hzroc4HD+OBiqpfyJTRDLDKnh+eyMKr8AQjjMiJr3gzf7D8tJNK+wp
kW1Pmk+SNtC3BiuVDxaLxl3lerXuAmRd9KmWuvMzLqg7lObauhUy6q5iOdW/XFlhd4DvQnvQkWbF
3NUyGuwTXEB/O5SFFiuY5cKxkgufK9AwoSjdFX1+j5tgb+0S7sgTZ1yTfp+qOl5dM0BXB8DK6mTf
RVg77PQ5Ul9Lyh9fW1xr/XBAPplME3w7xZjV+W7nTVaGMxuE5NuxNgGrQR5GqVhhjlPsZKbNMvDq
VoM9lCUGlpQYbX7Mpd3DdnM85YejWOyPMJ+yFtSobut4avT6O4H5ghEUlqyu0xwG8i0FEVSU3Ck1
v+kxhrznwkKEOMCwoLifixQR8TaKKgeo7GSeK8DPeF7oKcDXpqKReuuNnXqvg4VZgIhO5g/fK33Q
r3K1lJD4v0TlQtFg7oz2tsOmwXqPAq+1nKlSz3V47V5ElV/zxAECSO5cOGt2Y+JK9LU00QwOlko5
N5wK6SPEsxH2Di6kCEwOzMylbGvrYz3i3bBTwGLTwGm6dtxhGNmDMYUBoYX4Rk7QcUTFd8t8Wd7q
XeU6Oz+Oit1ULfq+jtrZwEnesb6mdp+gvy/A6gdj7hdLaOvIhuwcYzVGjRY1aQGIAgPrVgtqSA36
NAtcgQXwbuxE89CL0tPRdcbPYoUe9N4nWcdxyWBm/UtWjUrOs0bDQwYve+cLVceuvzDjsfyKiWiP
AV6T+hfTbEwx3hVz9BnLIACvg2bkeKKVyB6AEZ4T98zFGCPbebGJa86A19sYRpWdWHhv1zleRe0U
fZ5j2EH4+rWxCO1Cah/drk0fooZmYTg3qebdxe1Ug0umKZqGFE5bN9Q7A62UOdess96P5FWF0au2
b3QAt/t6we0nzFw3fzd7llpCIwYRdDXXHihuaWDTE3QiS5sLZYg6AmnrFeWuS6zxyrWwdQx6Co7f
80xbkjNLLC4K4nIAym/FhZpCvdAh4dTZVH42cJL8jEODuNcSmCIAy9cr+YDx1U1mp9EX16vmX8At
fDskMS7dvR9Fwg6lkeEynpkVpEvb79qPTFKJi7nEKxTswoyzDP2EQh5ihD++aSjT86+jMf9YYF87
BYubF+8FXEC1w8jYf9IEKKHD0LTDfdRFHX9Gq2bnp31rH5wi0rNAB7R6j6D26reBzP+9KNPpS8XG
tXHs0NHmQu1ciIu6Rq4MoGfv2Xuq2HMf2FTt6DtYbgxgquDSr7V57gUjVjWwH5qsR7RRq0BoYxVu
3I/p5P5oq2T6Icom6nax02k/FFfGz2WdftInoBNBHkNZo7xpte/MthkfjAYj4GAys1XluShpqNiG
NlCj8/0FzgYUdYzdG9OusVAfE6DgFQawu0ZM88PkD+6vVugZyHxoU9+rYdU3WurVK6m3YkREEIwG
9WlgI02Nz+5isC59WVKBH/Tuah7LRrEWcT3F2sVuYEM4ZXHjN2UBT465+KbFCyyoMqvqS5WhY4Ur
ZFFZISalVr0zhkhcDgTPaTdZVX7fCExN9sIuho+xhStR0I1jC6x7ivwYUiMMqHMfe3U9SouvxeIb
t8k8Ig1HyNHrsKiZwjDPewVHzvaa+yrXBsR9Rb2MgV6zI6pxhplRTCrTQdKgE3TV0md9cDRL/LJ6
FQEJ0ZYZ2sVQOg9xGvXFrtahrexGXeRPpjXnPzUnTjCwLQQex5SyXD71lDmf3DlO3UM0mnLlbwJ+
DpMhE9YZp+ni7SwRKyyREaK4aCd9QrN5KCVwUWg8MD1dFV2Joh2y0ILIKQLQUtkU1lUl7QDkPH1F
JAzUl8lSV9FEPeGmj7n+7OOBmhzmI2q1KKFOAtVM4gkQgHyaP4zSdNUFHmL97arwP7NEDfF5UCVl
8bXQWl0muuscsiqP7AMeS/bHWigD4q3eRxqfLJrONRV3fZj40nxScabdcq44TAIM0f48UXI8t/Uo
zs/wbLPZyaljYJlT2OV7u9Xdp2bWoplMdIw+wjpzEjzq8XA+8OmxCOgwlGkPdpGoc5aP1xwGqWd2
gP0cTntNFnE6JcAO9kMB2CrwmdaHcenkO3uapnJXuGr80BFCP5mLUOydzOi+Nk6cXqp+AsjvwBWy
dwV26R/9QWI5BH4XaF2e4+MTUDQ3buK8SrAc1fv00bWW6KMsZg3eDfSrH0IVDe5oGf4NUW7x3aBs
DI9mPGs/lYuExV93oD/KOe/kU/W+a56euptH+b/WH/1RSwIyN8f//fKP7V9/jp/q3WP3+OIP+6qD
K/PQ82HfPbV9wY/+dW9e/8v/17/829Pv3/Jhlk//9ffHn2WK+jSChumP7kViSAOCDP3fZ5Pv0vpv
Zwhf/nz628/6b7d10z0d+fl/JZYCe0dyQw/day6dUPqfJ5ZoThKjKC39/hvqf/9KLPkpOgIeamLc
P9YOAU/0L/1L5x+kf2BYuCStGSHXkj9JLNf79fO0kisoxR8PZig9M//V/btJq5YEw/kGhyiUtfbg
pOel7h5qA/Kci/WfnDG9H7ITl+P13vRqVL4ziBXaoPSxXl55tN5WuN0536b+0k+863LYm3UUFpCt
luXLs8m5/+uX/q3qy/s6rbr2v/6OXMJmMC7fSEaBUCOtJw/bgn/MAWwBNXnCSA0JIVS/j3+3MjIN
ug9ZAX0+7yzCcxoD4rxZj8I+6VxoRWsikfxOKlQeJ/6d/zvZcNa8o8tN7SOEb5KR5Xdikq05ivy/
3J1Zc6xImqZ/EWnsOLcBsUsKSUf7DaYj6Tg7ODv8+n6I6pquKuuesZq7mbpIy8zKE0GA4/4t7/e8
13BFu4YuHp6KMN4nJjYD9xreTA0n4B5JB2GPh2NKt3Wu4VC/RkadF6Euz9Z4Kb2GTsYaRQEmHvqj
WGMrqwInyba5hlwEStWf6hqIjU0zipdVsqwCs4YogWomaR/cawhXXsO5aI3s7EonyPOvAZ9zDf7s
ayA4XINCTBVLH8F1j1lTs8aNOP0SQhrK0XF8T4tQ2Fi2h1quF3eauQaepqAKRdohmcR2IxTqTAcY
c721NeHhtSuVkmfmcj1jo1sp5oK9Zs/OiSzeOesphpUY5wpGqv1BmncJfTcOndS604mqcMIslke7
lm+t1HA99NqUobHCKa02tNysEGTHmsukIQUCsWEIL7IBUjCqjEVVa+VhNC0zjjCd4UxbqmSyCZlB
XOu0+tTgKG4T/HHcD8RYlWH03eNCqWavD1qlXdC8ed9TMmZyX+pz1+/60tdthmVELs/WmmkdLXza
po2NWcdb1Yv0R7XYeuFmk9bu1uyHhomhsvArGhOlF28Q1w+3vk+GFOa95h+72kma0J8Sxj1N5BrZ
pWPOk/EXThUskaOyACgfl5zfhsKReV+YS61CwBRletLy1JPbZbETCurThGj2QQ0MdQaGMcRfY+nT
Qkw7vY52UPsIwGKm7LiFs58dmBACq+ezxN7VYPOJZuJSWCZKKj5BJ8xqMyE4uKvknD6VeT36+8Qa
TRhZYuGeD0Ifg9hI0j/FLJk8hJlRuqe2l7i/UPGc+m2PQeTRVgI0BUW3Nt7jxNQ9xZWdOTtPDT2j
wqvfOneNmQY5m8w6u6aWQrmdGJ/v5NLhOFvH7b0yxvqTMHhA+5C7TBkusad9gk3oHunGyJcKu4sv
3yn6m+4avGksNGK/Ds/UAKqX97u1M/gG4xr1aUSBD/E1FDSuYeF8DRFLghP+yDV0NBg3BzVwDSn9
rjMdzOoLAi5jjTqXLuse82soSjJD2gZu6UUNzjoGSczqeZXW4es4Tl/DNaatC/M+zxA0b7CeI+gd
rgGwp9Zn0axxMcadcRcamKnSdrmGzk08+/imo/IG/B2jkjwyUk1xLdVswm6PQOsNE0nvvseTtNst
a4SukgHdqbgG7tE1iDfdvvvp18h+GdHU7Rje8388vyLZ1hw7++UsncC9scqyZ5Js0oSxwt8UY/es
3lkwft0tGAii5viaYOQA4Z6Ta9pRXVOQKeedDSym9z3M3tY0ZXCs+U+y5i4Lp/atc01ovGWhfzyu
eY6+Zjzlmvss1zRIMpI/MSuHEUxgm7MAI9AXRrzv1gwKbyCSKTpG41lFNk1vvHFqgGjX1IspCdKw
eWxRpsSasLXzdE3VkjVrux4T/1aocpt8NXDJ/nT/HJdcY43/Clr+XwtoKGqtreb/OaD59YPNa/1P
Qcx//pm/BzHuX5ZvUwRjXoUavbmq9P+rOmZSvsfZesUyMgpJ8fLvQYz/FyRnwhviGEbcOOcpWf09
iDGMv6jX0FygNkbQgYLm3wli+P5/CieovtE6WMFBKPsIK/6liWB3+KNjZYqJS1LjPzVj6+sb8HT+
4a78N5HE/+FbnH9RGNF+9oWaECRQl4E30WTvema8/++/g2Lef/Nb1nrzCj0GUvqvExGrdYu3zJS3
/CzHQz6N/creSLfUvkswmB99UzPcnjDl+s5B76Jc0cEd7PPJxMnSkLFRBlEM2uHQwSqobtMZBvWp
xQP6zRTNnDLIkWd/fF8Z8yOlHjVvaVRVz7jWZ0gxMpV75TsepgLLS2pTC3UeVambkay7CEpsUUey
R0dTxl4j37E2tVA6Zl7KyV5psAEpSo2mcPawfVr/MMY6xzfXQglHaZXqgyjSsBaDz9hhPRw7Vn4w
LCCUG9f1UvyOMbOkHsiQ9FedNEiBetoA5KxZ5zzR7KqhBjTGhA0EFpsmbJQVOVq5yvjWJS5hlDGb
cduMTfKQ0hFhooSWCMPOntE3wSxt7ZUiAwnYPC6DOuByWy6n0mUughIU/LAgzmbABb3WUljoq0Xx
233IK8chScc3TIATtjAskH/ppUyPpjMx65z4i39bIY6B7GLEzrBJG1EchzrroGtYrfVi1HUzMMkp
3GqLsfdQhDP8rE+3dbfInufXmEFmWE1+kgB4rz7BHnRPBpVMGXhKn361rQYXA6xATDxRus3ICCK0
ri1xrolqfuBt2LTQSO4cvhzJylDlz/bcwfYQeuntl4K5SNLOebyLeyXHG0u0BQilGO7AbtT77CUR
RVcFce3JF2xuDUyy56YnNCts63XqyiTbTF6S/TJLEb1EOMgZoQVVYwznxKluBplSqlGdtZysLtJe
ayjurNeptSvqrLr/ZTVYoW3aosvTfTnmy4ONQyOg/RFE8kY6BRpmpTMZHVrGbADBQGXyqy20/lP2
BrM5xmSA0nD7wf6zuH4EDYNe4OpbO5baJi1iid2hbLWd0UIe2HRd0cU3aHySTYTsBc+/phMPoyNa
fLPhl93Nnhk3VA8WaZ+xBS4BR3AwpsHUYxObCJga/xfJ7/+nJ4rlWOzl//OJ8lR94UFK6viPiTES
jPVP/eeZYjt/kW9i5MD0ELplcrT/daY4+l9ky6syliYtE4Vr4/nvZ4rzF4V7Dhy0HrRVVgroP5wp
1l/rCOD6P2+VXPv/1plCe8X6l61YR7O6powcLIKzxSV3/8cGuJyswstp6QeVM5cncC3gGLJpHHcO
dYWdKeVynCCdNbyKItPwPdTks8t5dxkH8oqobeytx2a5r7O0Dem9lPs4iX/Q2S0XyPPiVHgddT9X
U+5ZZ5adZifbEbS3vtzpyTi86bETXaqmUCHgCfZyZ9C+Et8YP2Hz7arauZ+9QT+CQK/OShr+81TI
N2QB04eDSPOJzkn0aBtddQfzw3i3pdm/Z3Pd3OdCg4Ueffe+Vt6YqmieOwyVd9FUVN/QGgaUrF5q
7lBBq4vfem1I1mKdmY8wKRLPeFXiYL8BheSFuA2wXTgY+l5yzy8OY+9m99bEjoHpeQMYYal2+C0A
DMQm8Q44wLJB0F+FAttkQvMP7AHHsLOGD4XoQW3MqvLCOgOPIXrEalDPqC7ryWuj6whtrVE+z4Jd
NnZ1H0Z9UZyIKY8Ayi/M78hwmfJ5P+rYKPvxnO2mKV8HJdFrhHhm4u02oaPZVhmIkSQdhiOw2mqb
A8xmsKp3sfohiw3bylBBhYv01osSKF+W1bnR1nPLPv/KlGCSTuqlfiAXbfwjhJT0svQaZWMrBn4t
Th3r8nZZyuSpjbPiMkQYnZZW5h8kcIrQUdweDOznclcLUe6qEm9C3chqb1/FlJx3o23Hr1Xf5Y/0
HKUOBMjdNtGUHpBWA9yY6FyM/U2WfhnN7xhsnSnwfrKz+eBI+W6P7etiLFB7ohd7SfZZVO4xeN4q
6m12/MdPmK8YE2IX40eXxXOfIl6WYFty1zomfnmUzRi6lnZbZPrO6Ka7uZKPHQbNIorOqogP8zK1
dwbveGhW7WGK6Z2oU4I2c6eMog0dmzx7/rWSgHEGnLWHnl7T2omoYfbMbVI+4awraAgZ9nZIxa2p
eRB4DA5VUR486NpJSnrc6HCxEN/jDTuZw7tnJftRiZ05/O4j+0FzEDa4j9wkkGMGjigbEUH+GoF1
WFNn7dykk3cLUw+sw72O0RdMi92Yz/YmsZosnIaH1nXjTelPO6d39owHh7KH2jgnr3k/HZwMiJFQ
d8jnXrzGxcFu/QxGtTd5JwPdPJvizwKqMPZq2HnzMaqHveorY69bOhbqfvqsagvP1Eg+ycy76fO5
CXRb1X/yzN7oQru3wWLkjv/cJeKZ2Igrjyp9m2j1wUCKa9c/SexwKiknLECRbVTmgegoiZ7GUcdM
m97exiMfasdqP1o57Tdd/ygrP791U0g1NkV6iiWvhp9srbEM8kI70IQMBt/febnboHc2/8xeH+9j
G/mp89Dp8pu39jV2DjAhAiX9S2HfLpn1Yzvto9Tl80T2SWevHWHBaBcs7mN4XeWnkWsZ/sYEjOOU
PsZZbARzlF8i3bzFJYNmhGJ4S5PiPjKSrynFZbV1x3ur7B8mx3mHUvjqDJTT/Vy7WdL8V6JYZTW4
c7NsH/Qufzdim/WZ3VZz+06j+Ii6Zdujxw1klc6boTN+y7H9gqHx0kdLSq8vc4Mi135znnxqU3wG
ZHmAIviiYvUsEmJKQpWPqIRzPjJ90zn0peZWPPRiAler7cakv5AG44ss1T1kmXyj4nQ34k7XVl9Q
PQ9exvu9tDr4tfsYAlBZfUzlsGM67YYGHTz6N2tCl9zAN8Hx/hM5SjiuKNx+2ljQDlmgPaxHI4Hk
dRf7xmGhmU5I/gGdb/6ETrczgVib2XMdnXW2QXBtf2a3+0NzEV656QO1k7i2RvMf+I4PCKEp0rIM
lqY7R/l3y75AfvyBJ/vvyfIpP2n3nEes2fislXhfAXkiVA5ontOx16QWGJ0qAqe2HlTUfikU9jvf
LV9RBt/DAGGQtXoW7hREQ/t7qfJt5RsZqCp1xFUV/OM87qx2HIK8G4LFGf70priki/4yG/JO6Yzm
ePFxWoj7UMuHXp1am35Y6OaPcXZMW+UGSw/VZvJNmFNlDhjJ1fHwdlSQ5PCz6So9w5m8LyZ5QHCG
B5HRfbtl9DTp7bdXQUQpUkilo9+G1aDqrVVGx87daygcEtqSjeNSYMkKczcDR9tFbSchsh2d8jZt
6BqP/a1M628G0kb+dXozKZubXOhBUftAQBOIU52m4HqP3V0yVy9JUR87O9oaOk8CdpXG2kvExSxY
CXr1yLgCaCJlvk5F273qbpf8mep5hn8gwQ767WHU6ffOVYM/Xy39ACYRyKBsumOT+TKS/ALLVHug
nLNtY2Otc9pnD8pd4JrwZ1rnwlFOAZ53FY5SgDziXS3fTgN6ktmnof9F/fZcIcKKGvVLJBYNM8ig
sV7uyt7oD95Y09H+SmvVsBCTje/An9KssIkq72CpZuVM2hfkn/Iwth8oStTsBBHPelNQ12068LQj
yV4zgUaCuJLDH25tyM5GfjAXuYtjfBjc99grj2ATd461WmcBVhvuh1yQc5Sn0ZQXvzIC2HjAXIZN
rr217Ux18+I4R6ZmgpbpOLeLw9ptT2aE3zqbrZHz/AC/dLYOkhRA031SlmHn5vvYj4B7xXd6+VXa
6h2iyaZmqH6c5E3v5uEY26+Vr9iKy7Cacmyaxw93yYOJyGJjyCGQaXUHgnIXt97BMBkw9C0SPxqW
Hq7tlnWmBI3ukLEHJ9l1NUNZwMSqvnjLcuvYt3ON8OS2XkUhYvhoU/9sAPsD4YlKzUIYY+5KIwro
g944zu+0su516mxqNA5TxeFeGQ8xS8Wy/qBCYGORpxpEBUX5gcawWOS28OTHytZJ9dd24dVpkYt0
+QWrBEhPubYtYYfW1UBAgLEkGfMmLVFLGEjHGzGFaQvi3svaJz0fTpkwjxN8S4mKwUdUttN6/LJJ
ZA+tsClC2/02iZfqltiSvkQswe/V8frQnziRQodoJs594+yXXrSf6uS7wUv4YtceMDF/N6vWOZk0
rnfI/r9gCd+SIxLBmonayN49xguAYy+75HO8K3QTFwtj64r4Nmph5Lpio7y2vkUAt0t4RD0A6s0A
C+lOwM/HM2Qpmz+NRrATOL2LIGku1J1qWf/eMhhh0yRPynAxxTDI8bSl9cNBFLwYM1KjwFZ2OICA
jEv+81qGKlPNZgTlZiR7uhPwV43fwG62TPEfRw8b8TriSuXFTbRPPFK24I0kzYjqjPkOqKn0LlaA
5PTG2+U25cnGeqqGZgrbet6q2bqtqvFEKWLbNssOcc2R0G5Lhyn03Wbridsk10KLqCSf4q2ugWIY
oetZRvSOxCowqvpXi8uZAVR/Q9Vh39k/kfFmWkRJmz6ZgM31gQkBNMgYrmbI0g7EClSV9jaxH+v+
jmiWGmx+dnt7I7qD4Q4HywMjNxfwgftmlzmtQ2Qrt9hRE0mYB60RYZG9dFG1sZvqxsKlfSvyObRS
Aas6OWazGELcS5eDOz4V3Vs972v9Qcwvwxwd0J5u1KJ2Q5y/aK3Ydv0cWBptmoGOe2pazAffG72P
F4P+I2xxqPDuQR4SAEjYxy750PiOvHG/+OKlZWOW4o9pQJLL1dEoHC2UwgvjBMgo/zIhpLdHlFjD
8KREvGWQCzQzVg4LRb18OrVgkGWW7IzFZRNWv5w67bYEwo6EGQfHTL81cpjBb6k6UiO4c3L3JGgU
adLf+lS52QnyeNgQ51NTQqFVZjSgTAuAYjXyoY22jSi7gbbZMYFuHyl6qvWB7l3fTPY9/6BRJS+X
85A74YKu7VRnog3b/FMvvPe1sO4B4Ia/2/wq2ffHZhU6maFpxPcF4yRPhqrmXzFUHNe7OH582xoG
mpZy53bznrfgGNfFoXWa8ehKh4vOZfnT1Mo7yLza0tzcFCo9zriXk2dvQL0+tt0LHmUpaoaXjqmE
zIB6bdgsgS59iqwEnBlPn5JWllih4qTZN8bIIuzHDZLF9ibzwaBa3b5Fp8DyFxyrnXxmY3lQur73
0TTQsaLRZCPniMytqbOfTBChW6NukR+YE8G3728jx6hhpM9PgvYiHkrnKCv2g0UZsq9sI8iYmzkZ
tFQWHaKdVUx7ZqA2Do2u3dI1oSX9MKF1FSyx8A9d89ooopnSPKVDvh1itHQtPc/4jlYZEEcai/0g
H23Nq+D+E9e4ICqalU1rvi5JvOlt7a5qZ95hH0sxjEfBjVLA5CVzaLUiAeroKMHOngKTJkPopCLw
szTo2E/69Cwc7q++TbHuyBUNysK/UzK78eKfwUUUZP/utfcRcuteT8vdFC9Hv3Ye0cidMUDatHO1
Tf35l0oIH5ZHwZh/lH0q/cmTjNbxtBLy4UUhekS086vywaP3znjAcmfXxNAwObzpSXnbppqODFlT
BpVL/6NNHdtL1W8HCp7jjJqm0gwmMofsEokkcObonYbTsSP61ycCzgSFGlJxVCx1fvYm6+x5RKu0
9bfxrFUngelMIPq2Q9CngtlpxcYkiQ2Bu7Ww6zORprsGxIC9Jb3w5NmVqTvTJZ3U73ypAhtTSgzp
HEbow3FII7WGa8XLHLUAi5eUFDLpfqJR3Mgs2/kyyQ6FEtgPRjYrMNb07maelHfs4gT9djHpWnlg
7qOXl6no6/ZB+O1khDBdPe1Uj/rJzorQ8qZdlHSsJR42QTSROFDqnqRWbJWYCSYz7culLTrFDT+7
w9+ZovBkzreLAfnbzXc5R3c0HywW0rZu0OwwwbEv8p7lHEckAmnqDxg0i9VPhS6FdYqagv98YKQC
c5nmt0uZIDQVgDAr6vK3ZRmK28aKCvWJ7UI8gnCHK7tzp/iekZmqvmAwBKVOwSDUQjUAPtzqmO1C
UWCvZRrFvylJrO6HOgXg20JIbHUrOY9ML3+TRZefslWwCy0n3Tp0+pnvWLKf0qj9P7Aj/LC1pBN4
WqoLdgD9WYMW+iITvd6m5Wif7LRug6ZiZjdPMIyayqbY5Z0wbsql+V0rraeDaD15oEIOVQYAlp7K
8JzbY7119AnbXErVlOuiG20Qz+PS2vAPCzIYaAWEDF3+uxIUXkVcIE/P9ersjWtVySu8Dz3NMwWY
0hqfGDL1PhKTzg+9QP651QuKJoKZ5V9rZrVvvdq/YdyCf8QA5Swml2zAMScCCAbek4d2ZTVmvaTg
I6o5fqiuHMe2Ut1RWBpQIQ6/OzRZ4q7rEvNmyTgaWmij5zGaxC2DrcOpnNXRbNwnhDPVKa5799Ay
qfYsTNKxLPO/M3wyUzLBRD/YY6ofBL2FYFnGL8pczaMuu3FnS2299DL9HJdSbHXmHsKR8vZeaDAx
RwjB2EQn6zV1TXdswX1/jo3i86gRbccSml3Qznxq5Q/RBYLny4r4fG0Nms3MFROur1/Z1krsx6EV
tzGW1zuvX9oDMjcrbKHwH8exI4Zev1NWxfQE17S/rDbVtxlwUCKDJH4QqowfalDIB9VVWTDlw1E0
3rdu1nzuqFshaovoYqPQux2tApiq9Ne/BQB8qmq+dhQj68/3uZR8GHeVi1eAsICSUHycaCwA99Sj
Qez/9ktNkZwjxBaUNOxp3yr/u3XiFGF5bL3LPDLfZVLo9Hx6Pni9t9WQc0MaSAOiQDdZIaDdoobh
g5v6fhyBVMkaQUhCbG8nU3TJFJdduS1JNBpvi+BEM4hXl1fkmOO+rjXaIQU/zGIVqbn4ao08DkbF
DdYTjRaQZYfcVezeTf9b93uwqpWX7ytTWEErfdYLeeV7WuqP18V0vYBFnz+1RX5UaUJ9ENbmowQx
vZe+9jJGXPj14pAgi21WtPyE9QbZMZ9qoxImadND4RdsDJ5DNk7hMKPjtEVTH13yCB1Vl6HtbKf1
WLdcAkFv8m/aqKu3wuc25EsidzwPt+ZmVxCBghZl0N4eeDxI5z8sqJzb62VSIf9mqOy1miSXOfgw
kkVWwqUY/Zuxlq/Xi+uidAw05JOPvHLkQCu2kr2lebPniN1i4Eu8XJzYe8udZNQqlON6ZzrSq/X+
jcI+oce5X7HoKou+kZmichm4L+MCQVAMdMWkZChWt7iYjAtBKwJEQmkvjRF/aW7qBcCF2Q9tjy7c
uviRRoy7lBee9aR9W3700nq8R57ejDvCM3I3qoIb29ReEBrwwwRfppf2PYT4b4bRe1pEjghp2eWH
pmUU7Pr1TBydMtxGkDfyK0Gs8AlDGR1Mf/i0Oz5Uo2G6St95xaehguo/gPYfofIEYgVB63beHcuO
l1pIfjpzTmUY+8spM9cfeP04tpzrVTUrULcv8zstntW+VLxQ1xtStbV+aFGEbK+/sFr06AIopN6O
3lCe7HbIH0fY2mG5An01exS3wunEXpua8pSNFfuFGuOH6+oc1TL9pj/eIPOwoP9K3b+RA98/0oK9
lfD5/vao7TjDmbXv+i2ypBlIvsfec32jZMOO87f2RIEVQRu3idxIpJ0k/dov0iWqEGnLmEXjK/Fk
CADjWGoI9uF1S1MN/4/M+GVimpu3XNO8hz75cBuTSrpTRrukl9ZT70vngG1I/dTpI14biWGcYLFr
IX5d9c1k9vqbb6dsbf1hLbF3iiBUYpKxsRMt3cvOdx+apdCCblQXYcLTHHZ4C+1w+nlEjU1GrwE6
7SdyAKK+HRQ3SlRY3aSqDBar9o7zYv24hXWuvelx7Nofn2bHVhPVVrSeHxrxSierMSuqkcpFC394
1m8be2wOLJFz19faC1Yhw2aa5lOXpergGtRjldecZJXn98wnQ9zlb/xm/PHF8N6Xcbl3VfsJi/am
Xz1QyILsvv5we3kvWPt03zPy5+88evApsqWjtqNp/Npb9g/dBXqiuIZYy72Fn8c7PLMvlIbnTGrH
0oJfbo6XyUYLjy3fkXzTOjT6AO3Q7d6RQlGjVQ52ELm6qMonTCwfetk9qDr5QrtlYrKiy8Apu2ZP
H/iIKJ2Bfoe6rPE69dWvxi6XLYnL4us7OssPpfBAf1o4K7pHpxevtlvdNLblP+CugQyL6Y0h0CZq
SzKC0E2i9q3G+pDRE9sUHFhUbGobFcL80sQpb6P0942jGm6v+YLBF70sh14Hr13hb9O4NV/80vrp
E/sw+hE4A/MxGe2dZuXbyMX6pnY3XjPd5TrwalBWceAatdqVKpUBM6zPc8Vgi4XgPSbyQVsvOoxE
G/tIYMZwg86AsL2NILGcK8d4dEaQ9X5pYArUeEE8oQ1v+vhlqOe3CYJwiEVXTJxLcAyCKUyoiW1c
NiskS3T8aWXomXACqfNExrwmSS+7rUiUEQLe1w+6G1nBEFcvTVu/jSpxw34ZoNhrfr7zCihecKPt
Tc8uFfqjID2uUkoVgM7RYndBN1gydLJp/tX2H0YkQqfm12BW6oXYbdCDAFJ98vMpOxoIuw+0/g36
1fn0nBNsfwx9lB7BZPchgmHt2ORpsefX55gIdCZBpaCqP4jhomt5vomaYdnOaWbsi4WsYZqXbO9X
Vs0mqj3AvCbHtpPNMCA2oB2J1F9T9hOTTt90e/KTEa3CzbhjKISdYgcBLDmbSz9sCPLa18FQfUgF
v7mvnKgJBwRp6xdY+9Ftsz+QyQ12TSHIoQCm743aye48a8jeki7xTijLeMh+7O9cl9SurZEzVkPp
nyQLO+eKXO/YOka8g4tivUjhtuHYDJggjAJquYVbTNDrvblt3NJAFwcsl4mI3DoBocl2qGJ5GI40
PibmUYnUMuQGTa5UiEOs+mJbbQIx6PkxB76esoZT/aNyFFJ3ty7k2ZE1fS/McoudbFw20YgHtNEK
D9MWx61vuz6hdTjP3kvqa1EwxcI55dZghQbjWUgfa95dcCQMD/fICDemMdMmkgRwyBpiSM2AqtzY
9zYlhw9B/9RQLImqS+v01pkhI3+TMkwDUxXj8h6J680EDzRGRVl81iLODHISXz/rCGxIyc035DXT
Nx1q51hXzFyIrsAuh743EF1nsinr9R4LskoNJHUlkaje+XOyX4yZQoPtpSHyouHoVmU8bm1XEQFW
FTEaznbjTST96I2hwvQzA67HcaRBeM9y07+xPQK3cXLFrW1yjuAF5/+iIooopVr8+lsYY7mXSWK9
X0PecbQJhsvaV2uNuc7e284lwL26HjjeuPpzzNMiw7+FrYaZnMUixJ2dtZyVf7NM6FzqpOg+lu36
CIJK48ikqE2rh+Znt2sYCLtNe372Zkr76VsaJntz1pp3meRBh9XVocF2RivM3A4wvEi65m2c1pAU
e1udot0aaDMUc8i8DuY7tjpg+GVJjM9IWf7YqETeMRFUfOaLlbN6SvfDclR7QajaPaMzSm8SFUW3
s5s7j9DpiwOaJjdM1EBvJzed5eA3ekxf0UyNPd4ba6U6SWj5mSPKz9gq91nG2RknOKAVg/fcakl9
2ztVdN8sqIrihYK4rBN5mXuPGLtm3QFwwwx3Hb2Svvdoau1yC8K/JfpCRxvGrsV89DIXPgWvxNnT
tGbK0usxsoKHH2cUR5z+j2kNSRg3RnqIkmXE98BtybcLzHJgUoX2RK1qATC6x8Qrul8wbLttSr29
cUtmDzdCKFo3i9Ea35SvrRu7MPJ7mr8t9XzTJ70oqCYzbsMrZg26dqfREr8sMG/1XUWT79Hn1r/O
I3MzGxj6DC8Jq31PcqP4aSdZ7B23gizI7+pest4e2Y2Zc3ss8JI6RJic7xNjcV4dR6NbWzNa8517
zDhuBk8YFxt3wm2JR9UPOtTuG48m84hlL3OsTKm1H4bXwaTjO5s70STmuR/rrFnbzskx8p0+2ZW5
kwF6QsrdNTY3aJBUH6colzexrETO6T2lZWDj6XrjeAMOQ4U0x12T8VZAnHW8t1pL6xsmfdSw9RM7
/d2C3sPAb0jVfgbfcleIwfz0kWNj52Ym2b0Xx2aYplIi41PWWs3Vm0yGoi4JGbsRdxFdW5f9Gt3X
rp6dDSUIhvqmY4SwVTYvC4PLnNJGlj+WVene5rzBdqADzEr4a4pQn7kqcddHvXefaTWy3nSKnmnT
UZUnzL+NsMvcSUxUtIA60EuO5av87ZNpk0l1vWHeVGuqEsScq+JOYPeSh+WcA/hLHDAvB7vKciT9
1kRoYksPw6spsSjLEf5qW5gDGaUzi0FjEvSsOfnVaLx7RkzNuR4aWQSaO9jpmdIbAndMktpwMdKs
uFF+En8nkz9+IolLn6bewK9JGz3JJGszOggDeJ6sLg6TKuQQ0p5TKytWp6OIjKtH8E35dpInTVsY
CJzqio65iE3nhtlScWcU43KfqXWQL8coa0aIs7gnzmrKyUPkNK8TfkBTgCkiPzwzcvnNwID3zvgx
U7Fm0mwTJGjgcjpamaRKbX6cQPMf2WqfmAh5mOtKWRtGdevAE/U3usgT0d0vfAyqh+xaZ7flYZjT
geJEwuxiii3kIdFm95FhQ4m90zj/tlV/Py+mfpNLjUqhx38bLZidjKhEXFKYIduyQO0wsQb5MGeF
c2oqc9jrSnrboRPODYmP+4Cp0bKfkwmBUR+rhyaP7fOgPPfDcyWeLOtmpPw1sBRlc4aqb/2eEq3b
TcQXp+I/2DuT3MiRdM/fpfZMkGYcF71onye53DUrNoSkiOA8mXG+Td+hb/Au1j+PzKyuTKAe8Pa1
KRSgjAjJRZp933/kg8ZgTA9AvuoH5yMZnf5YDJ39hWZAwdA43kwRSz2XctUawFs7l4qwcR+MsotX
s3bbelHGaTBuhzovj1E6ReU6NzzxWHdd36559/qTW2trG0vEPGDtrj+snL4y+floeaCyLALSt3Od
Hojn7eVahrKDhhR6eKxZCb4craZ7jOnWtx7Lxo7kdUruLctiwA098SKdktiESWeVxOstgk/JrzNZ
Bi4FP3zz/gOnWs9rWHrtjsiP6ctBxNWBiKuA9ZALwNhRa5QuzRqroVWweJF6CYsyJ2GYbgm6DNJl
WE/oHIPU8e6Bbhn+x77u+Tj57u2ck5y5IpYHxLL1c9vH8UfkYi6O0hB9DhUoXKelfYeJVn5xjLif
9DsGHo2cyDOJsiq+cax1l0j2zWky3f5N06bJzBZZ/jKyfYQzgS42481qsSjERMRHUjGkwe0b3Wtd
gSwtUPL2zMJaogZSzr6d8vaAXrN8tMJRP4FPFNh4oNyor8gzDFdzMjxKwzEfPCQQ7wEO93Vvlv1Z
l0PxUDi9v/NcNdHB2VVnK66jH241BcchirKfLsSahlkN2mMuGnzjLGKX8FazVmBqvJlyq/SbR5HL
dhy68CxQekULfgHOKqmb/DQ69LmhXkDKqrn1DFFsmmiOTkDeiEysCtlFXgLU01oAYxvpdFGLVC67
YH73MtddDpMbvk1lZW8b3zliMr5kPrBXUMtiB68arbUgh2HRE+q7S+zGXE81w3ARz+VrWLv2qhW0
K5pT0q8by3iQjVVf27qnx1ZE4YZeMLbSKjxHw8TLXxvtS20p7CxNogCPQ+ect7n37oCP3o9ICX9G
s5zOcZ6lw8KKW7aCCl+DzIMt88+ZiSe9Cm/sdpWVBRfAqfbD6Zx0m5ut/nCMrjmElLJtR6RU26iL
mpWZ29adLyqUvzMOHhXP/E/UT+DLdr8FxCRQwNLGPlQtJjlVUydmUKywM6cRehc3sNrhsgeLopGK
8jLMXnekXCdLohP6J7yr3VrWg78mInof00o1lnqngv5FpGDHbdOeKgVkNwg7OdeQOIdcS3UJxlgu
C3pin9qsmQ6MLS5LMhDN70DJzJl/ZFABVPEtOlMzU4OcEp73oMykgHGLov00Zf7ahtlf68ngluRE
t+9VXiVrIL9m05LAs2hj+maHgcIp9+YDqklAuneR4J0ws+hD3cr4HjI6W7dVPN3FRq73cEnzzvaq
JRVxMRoRDtB+1Y6IlwAj4Iujqk3OXg7Sc+tr5VCHAyjZbZeWMvL7VJXOBo9scFaFGxwxwCWnhsCV
U2yOxb7La39D5GUBJjFN0T4OqWIqB7HryqK9axAbbyVRbaO5aptB5ScNN0CtntV3xSNsRD1AqvnU
vtExqclQzKHypGobLjJnHp7qtupOie+mPDvureUIHY8MOD8iVkZUkpCPVB/THZebsYAVMoR1Gtij
FzGz4YUcU+CasK95jkEG0UrRY+Q5FOdwZNrVsIgSroqi6+p97AZ60WpjXFO61exJrgg/fS8JznMx
ph9KFe2+pzoQarej6TxhyEHv5loBAF5s5g9e3EXfbZa2wxTTHZJNIyc50Fl4L8GfjjZ67a0/ldZr
57cSUpntumwA3gbalgEmwdJUA4Doh9XlFypHPjl8awFqiqbxVsyUmQPhhwOguKz8rdcJ9Rb5t2fF
A96EkglOwGLJ8RddUDYKlAxx394zAOcrNgPwrIStRVc1k7zChvmd0j+6OHA5xq8Uq0CXDonOH8wM
DLKKkWxmUdYyLZGVfwbPYVb4BYnKGzguRABE6irzS3gzJtQBir6dPsxgHq6uw8GCJ4od083hjQem
TX+6sU8DDbqGto0nzZK1CQb1YnqPCf3MS8ecLzqgBZCxfxWWEwhH0HiLIW6qyziSldDI4UrTvdqo
IEw2LvPIAkCvOaCW8u6j2PRXVscgYCEaxeaoUShqz9/OhneYyDhborFEjlgXzANhtZozY9Q0hFCO
xNlsihWEkvFhtr7ekJ00nw1zpJG0C5rjmNiCAZCfsSLva2eg5Wfa8JyLDA6Y31Hk1EX8ODn++BUF
/Fq7QoOhFvGKPe1W88B8yv3EApVxMH9g4B+fMlp5H5lAoLUwaT7YJuvlL4lt2fDBmm0ffVeZYEz1
U9E8agLST/2II5GuLp4W0wXDBcBMjrY/sEUmHdokwjNVh40gtsPfvTX/sXj9QxLdhxvp3wvy/zf4
wX/9n7+o8X//I3+q8YPf/FslCnlFMDykFf2LGt/mSy5XGtGxZFSR/P9PNb79m02+kUMqkUW+M4r1
fzV4/UaHZUDCtWW7Llle6Pv/9Oz/YbXC7v9vs+9uSvv/7xd3+MbIAqNpRzrExNHa8je/uKSCNBUR
isw26tphy8yJqKbkW6u4SPKAB9MIR2C7Og5fsSCydfzLp/XH9/OvJvJfoXB//QYocSEEir9SSItP
469WgLBORy8nUWThsw0lS5a9aNxMmSIV2S/Ct9jRNJsnbMlvDnrXlDtCY4fMZJNw88kB1cYkHHOr
MEOV+zStehZpLE7e756Tf/s5/dWidvuciAuwf9n5Hb5X8bcoMTMpM0Ws3YgCwCwfWsIDnkAw0+1/
/2kwNv3l94GH4dcngWLGlw42DIfH5S/OiCTSGc5tbiOtwnzhWRrVT6U99yslD2mhxUiWhh1aYG1+
6NePdjCM961w7Sff1xkSez8J0VlBlU9rQ1NtStM9yS/3dTYFmOYzWNJNNBL5eSI5ZrAuYTDF9l3i
R6N4tCvwrXXI2Yg6eqJOcB9ZlZxhaXHBH1x8CvMLN9IsNlbnVq+e55VyOUUZ4VH0UdKsBwFJBq9j
URH5O5VbmbVyr1i44G391GjK40iDRr9RSTYjvNVIwDZ+w8K4MSlSDVaZIykNHJQAUbNlyVfBVorh
fkpxOC8BcnOq15mB7KX2S0/HqCNGMyafD/xDH7Qfk9JFo+LocdnMWbvEoxfuXLsPxGusbagdkKR2
XIHEhMlurrDevtWgx/M+ym7ZmXljGxOhSGSV3ta6JF3WeR1XWwPORS3ZEMJkr+0O6Te9X9md06Tk
Evm132MgGDwPBggeBxd6pMVbkUZ0fBq43KNFity+JtAcYRudL376FswFEbtpHqA4TIZpEneRQ3Xb
GiJ2Fkvlze65iSPjNRkz9CxekLWQaXPkw5dOra7WNqMl6TXOgL15VAEi+UL1lt4INZjqpcSFGOwZ
TwSpDxlz9rKxU7N+ifD4tOcOuwZ2QjCaJ7dVub1OCxord0gBTXcPNuE7+yEsRnp+O7eevhVz2RZP
PP31sCp933+ulRTVXodwAUsvKyUDMBaT704r60ORWdw+GMhGtfX9nj4mxFBBc5cYgIgLpoObsA4V
KUr2khQapFW2nVwKT7u0fbkjOdUgfcjyM6+kdKmyMIKz4QNa8PSk8gnDrAPdG1omc32W2MQzRJZd
vISDUXyPyjpFCGmz3iOo0fazm+gJwBCBFrsOuV/iBMCKOE93s/8QWlX8lgrH/TKLxlT7Ma6RqLnl
MO5MOcfGeSA1qFsYrP5v2AaJM9fA8O8aFcpDPlXpdzdxkHvUaC+u9TC417hC4LBM/F4BjlqKndzS
7sEEZRwfOfcmXgmdhTVxWVlgbgdVVA3EdWiPS1kFytnN2mQWQuVfwNp66mc/zfAUaoIQCFkCSVir
2U2hgm10V/gXq2TDcW6cLRiSm/NzdD5Qihu84ykXEviKaOw1zv9hl6ZY+NYKkfTG9SfL3tAQGG3b
9qZBqSfKjZf1OKHVYzAO5mVPTORKCVt024Gf5p1onjFfNuE066WT9fwCE2qMqXI1ZlShkxq6bK+T
3pugi32sBroOsV7VyTj0q2Qy9HggGgiSIE1Lb5cVjKvLoRh8C2zOob7duv1TqJAEg1Bp4UVZKgs5
wEqOgkeQ/Tx+IDJX3KbZsl8I1vZnm7SGZwfv+89Y+AEZVm0xLucE0mYTkK707FXOW45y9jOjGOi1
SnL3VniDN2EVGaSEL6pIE6sGouQOO68ek3PXxqm3Mud4HrahHCxcnp1m9xishowq1ToYCYaocj6T
Yka0V6Rd+gTL4xnbvJ17A11gOYt1J+lYWujIwazb5lR5b7LOquxlHDHpr9GjeS+WDyq39ZJCHaHM
NOAHUp6SCABB/r9j1+j0nSmpvpi72+94NW/hcfGYHaSu50+jn5N338iTaDvKPvgK+mH4QuRxDUm6
Az3o6dympKgQJ0UgNaYtDxQsqJvXyjQ/RRMl9jLgynkX+VcdRsMDbtr4y1PoxgaabLed1UoY5Ln9
PilFZmszTiCPpVkZL4J66/esb+NgKUnggO+bouZ9IELjGEQzqihRNdG3zsPHRPNp10KOdkJ/lvQu
5+s4jaaPuAD+HmnhvHFD1iNccfzZBopdgTSC54QauxRyoQvjhT+L6q1OBGgUgVrNueXlJKqJ+BHx
bXKr1sXO4PfDDllFPC3dtst+uKkoqqWPp2fmQAoVskpPIXGr42DwOICi/DInCRWcpeGAgMhElo8Z
6WnNRoVN9RaVwq1X+eDlL2U/I2Xt8rAjkSXQluYJjtDyB7L+LrkzjMWo0/I78lX6i9066320yjGC
t9zXDipPM8AxF/cdgvdcROaBpFr/YcTdG+w7YwzuMwIjnaXwatg3/EZTspy0h/MWniJXd5L064+k
iCIX5WnPS405F5ygjoSmNjzDubdUc6x+dIWJhdupqvQNNX+NQNVo0nOZJumlM1HfryPDaoM1mqT+
1fXBJOn27RAfGa5EWlCkcXQNY9cvloFXI46kjlSUJ1D4Bpi39RgFq3xMr5OcMRxNpCy981Chqv41
6fxnZfi1MjA9/vuV4aFS/Bo//r4z8Gf+2Bkc/zefbYBCdI+AJZcoqn86eF12BkqC8FZ6f6ap/mHg
dX4j9htbr+/j5ib84ZbYrrE0xv/rHwaREGRF8Dda9GTZgLT+/2RlQNf612mYuF7+GtN1aCbgayRw
/X1KHRFEulD2OFUS3A5ZK+xnoCxAFOX6asW9NqIeJH/8I/W09xMgl4dr7H+4zbhxKw7/tpLdAkd8
uHT62SegqgmJ/UsEnesAjNaRtCg6QuoaE2w1CnUnyJsEvhgtjl+RJ1cNy3AlOpXT159j4gSdqLl2
3HabGb85odCTjZqF3DfExkayt8rO4ygxXgMvRtEI1f1o6wKZeKd19ZFHMWrvTsFShxxN72EcZEQn
OeWja+Fjj42MKuS2jsyNCJ0SGYwAo0a9O2SYCGqvP0gzng5jMTbvkpzSOwE/fk+BU3SP+5AgVVR4
skWXW8Qg/1SU3xWhyI4F6rt01Yku2Ncc+K9Jm7onow0pRjCAJpmihvArGmT11MwsSKhs0BoshBrx
1hEBt58IvEaFbc0Mz23wM04RomV0D+1z1AA0Gyalj748me8znHIbCQGDxX/Kbl6rxJlejLl1+Xqf
bDHyJ5s8aM1l1MX5OnF8/MYMvzGsXI4/z5xR8+reDpaRl3kbmpvzbYnk4hteymYpncTaBY3xTu6X
vvOKst4XskZAKltgDbvGBEuMv/HOltasICiCLaRRv0wzpB8Z4qivwXfiF9cc8tvf99pWzo8idcN7
L4upjXeNzHiEmXLqWwIJzeZBNOwDQ6C2ShmbrEWFjuhYl9nwQGE9nmiIQ77hcDNLzlWHaqutqguJ
GjKp1+hy7LXpa1rRiCDE1qJK/xX+u1sVleMdvCiNn2TSuocy0pC5Zg7fGcSO/z6TY4xNNTRPymqd
bVvGSC54Cdfj3AUPYTq6y9K2c8wSQVRioZEzv/Usz4at4+XJzopxDc9dfF8ZRXJ1CESD4JiSZybY
dot8o/i04tjZkFXpXnOD2r9FOlYEc3HufulaltfeZR/KIY42TeVHp6gx4huVEezLujV3MpuomyIJ
DLOIPyC5EJTbk0cI2QJUibMpu2saBpE6q11g89h5r0XVfyY5kbDWWNr3TCK3TtOGICkn58VFvpRd
GMXKcYmeD6ldNapVOLfxtmhH9SLjWj84JvlglAFnho0kw5juhtlCnh1BPP9MjaGuxMPsaimuvReH
on5wbdlfBmMASvQLpL7sMSjydD0+DTG5Yousu6m16zl+Hapb73zb2s+5mqL7MqMPHEGHfDdNhnrz
FzZOnMfeNNCeRtqRS3TgqKSj0sRBkAl8PtWIzNUJuZL7Xqg1ljEkhTckFIECOlLg91cNGnYePLSB
Ed7vH2NtlNey9+rtL+1kbcnxaDJPr5rIxAphcJYgIbbHdZBP/kenb84JMXSbCtnyNR4G76lvtNEs
zARpNeBpvaYC6rtpj6glMYmPT/RyxdcsdqCjG/THEGsw1fzp4QdQI8jqTZyqetzhxljmH5WBgFPf
gN5u1HrVsda92Loan+byFjMatsmEp7VCQBymXxN2EMwoQMdXWWAHbrQM79DK9vZiJNq6Y+A1oxV5
Oflj496SP0MIo0U8z+lj3NvWtocPfi/r2b2YkKWvuWWaDzxXxnM+4aKjJLz9zJUfbbqsj59ioItX
RX7MFeFB5mGgs8q9pwZAfTNXGIr8tkNbMTobYpu9U10ZxIQw8fAc3mI9k9cJbbJDVtSudLA4SZ75
vc7yhlV3ztYQ6NGqT8B96adL1c7rx0jxm007glaoLmpzf/omTb9dBBjrUeESP9ylEJGtmpE+cX5h
EinR55MVM1+w3iASopMQ4Z+nQthVSz0LQ9UohIzp2KBYQy0ctu3KIEUH12JdLKM5LZ78qrWw/oSg
GSlJ2idqGvA/lLNxV9uztTZdBaUVZySulqmzVPbI3A7otCY6t4NN8oONZEQ/2rXPhmNnw1t+cyxW
7mxuYHLnU9IG7bkf+WKii2RTAco8FUxtyyCv2yt9o2LL768hpNirz6nMMbfYcbSGSgoPSM/mXZVY
Ezm+U5Riu8jY6Ye5OeWpeuS/5Witq6Pr5zURQTWxF83tV5J5kbmV8CDfJbfxYfY64xtao+Cnbtj/
+Q1VznGGVaGPsvVPMiayBrsi0o8qv8eykf9MO1B+PK/VUzWF5uuMepg02vR+ivTesfBLLQpmlktt
VdmHDAm0IZwEG59Veft8EN0OSWaAG78fl/QquccZyxd4O9INYc3Rd1Yd58IEWt9ZeFLXdSPYSLQ0
trNnn+C/4qW0+5tfV3+EuPGJnyDuCJ9Ldc6Cmf5Mw2h3iWcIxIe1dVTI/pEPZAECjSTd92avVwVy
cZ6KKfrMU4Q8/jTQ+kIw655GXrWRKm02jO/2W8bn871GWHHn91b0VOM/OjMGhLA65tVoZizsfCyh
0XfrQqYAj3bOC9BLd4sySSCgmEnhsErFu8gNF5dWJMnUsWa5wYaBoKFgYLrdKva8koVvcJe71Ybk
PoCk2JCbybJmEwdvjnfdw1LqwT3umbTgzn3oHR+7yFI0iG77eoSLn/Pa2xEinlxl3zdHA8x4TQQA
3D17/NEvtf+tSVuxS4QOH5PEDZYsKbf4ZFSMoYUdWnQITqbYS86CJogjXUzvuc92F5vK2mm/G9bl
UDtXOugnzDpVehnqboJSzwv0tVa85uebD4HTmEsy9MeDIvyWd53Yhuvclea8qGQ1kMM396CDYTm8
Ib8uzwnnOZzwPB0iy8n2hBl1r702zIs1Re495orh05gLdxXa0n6IerdfD/jGlr07rxBCFFvJRr71
6f68k9nwUodTAzQx2idD5CWgUmDXe9Xl9saaCpgW8iqBqiAD+6fZSlBdq2YkijRO6mMV282ydVug
qcQ4TGiylzFum0vuidY92YTD7Fyh+j1UfHsc3W9O0ZQHhhYMw6OZi6VABgE4bpCdEo5heSRKIIWT
F8A1aDuarRuB4LDZWwXpAjOXkjG0CEyr0FenUljGvtdcmgaT0tc42OigSE1N11HSdiSBk+SzR280
Y+DJFca1iXKzUx0o72NMKH2iG2ze+G7hfzo6sLdW7H+b9ITzra3m69wTucH0l5wtt/003U7uJGEy
3Ahu9+w2ETk4Sow/zdbgBLCdusN5hIZSNXN/KERZ4Kuxx9ehLvTzGLtkuDc6QpBsFQJfYs4ySUDd
+JRoqTejhWWLVJnqmFhNRegVUfo/RqTvV7BoFLaG8PLXhJp7Wj7M8rUVVrieAIBuYTjEJiLl8tBl
18MmIoZnW2SDe9eDCd9GftyycY/cI0II+j5nJcpVRghSTAaB6TF1QpSVcdxYL7Yf6701g22zYdP0
G/j5qQ91eHSJEj+7sx1+BC3RKS0pl99zQ4h90mXDygtLY1w4TR2uSHYTpwCFGQEDaIWpYWHoOmC1
lgcGEFAjy0Lc43Rld/Zn01x2s8AvH+O09GrsJFDV+lKAPWyMIQ8SPkgrOI19hFa/kf18ykTdrWbC
sJ7HW+TLPCTyyy0QjznG1H71bSHazS8RDMomc5ta3UQifotZKUtGJPK8U07aJT+n0BBPEu9JEOZH
oy7lORieKPubHgfizXkG03Ug1JEnB2hGKHPP4pAUCzW7Yh1JCcBuuhIZD9/dV59p+YnItEPUF9XV
t6kkTkEpiG0rdEj/RodxyeY82wBMGzsnDotHkQrzp2BvIcTBd681c/febbTFDW1n3ATVa5P7dww4
mzRHl8eyMwf3nRAhaSS62EkQiC1vR7lO/YB+dXLEDiKtus+85qUeW1O/hkMBbhZgZ04mbhHIhICS
BWMq9rnneNPqlu+6sMbppo8anZxI/266ggTJbcvpglIzUxsUB2KvZ6S6k5dD/kvevAv8tv5ZGao/
yqRLd70OB+JZ5NpM0hdBmF6c5Wu3y5dtjD+Suxbf5PMUhJfQLy8VuyICqvEh7GjicETxMJW4hqfg
JCbvEc3FyvHDB0pKf7ie8SiwcadeeM4zw11mzYS6spIK+7M3uBsAKIOTsnF/jMPU8a9L575o2v4m
kjbqfT3mHUEcpVrVXuIsg6CDCKhclFkYzp6M2NJHDJTVfdwX2aF2imhLxoC+JLRcb/shDB4qlAkb
K/Pl1medeM5cct1bv1s24wAQG5r+OVRi3nfedEqLeuyWBnF6Z9tTziE0g+EY4Y/s57reJ4jDGQWt
6CfxMA5vpHCYqGX8Eo1soWQjLWsYnNqfuKa57F2uizNzb3qNC/LB4+Fkqs45twmWogWjsTBJ0dHO
E2OLj8ADEB0Bc3Cw8eWsbXKeH4ou90HDOlZDFUryOqALr1bhNtvYh+NZ9XrqOaRoenwmNlDWK96A
8YUsqQbNg5el73wEgL3uZF6QdN6iI8hzjdcUuuoVZtF5a0wAg6RpRI+2N3opT5+dYplmxAsLbUM/
mD0kVFFc81j8TNNbMrdb2vE1SBz3o8wVQr9i1Edz7q1NQlDRdR6xYG18Z7axcOQ5k6YzBS9zExer
ISiHjjWqbM5qTvGf0TLwEpCjd0tAyIyfSGZonBDcuBv8rGj/uz6/OJiJXopBMma5TkIgE+vOMeob
40QApFh1eoh2CYGyQIEtLgACpeNVrL1p681JuaxZ9wkbIjmHLR0bNWn81imZ0plkoMw4mRk6n66c
rC2B0BOp0wH2RqzQU5YtuGMwY2sXH0g/D2u3RXe8xGHkH4i08k5p6FustKo8xQTLTEvol5v8aKAF
x+sJDYrxMi9nV7ZXHdA0waIYglArHLQ8HgaRUWUy3JtycNe1ipMdFN5NbJrd/g0MnZKTpa/XLnHS
ePJCTTNJoKBGsJmR2qFvRBj5FpCdOU3iGdK9RaHycdeRgo0FobQUETsG81jTu9gwAXVXooimBsuS
M/9oB1511Yj8EiOp5Dt3uP1HghpS6aaIa0zjSTRJuS2TRH+6USiPeY34v+6r6YXJyj/0VBAeNY7t
fT9W8yOFGOV+6myaXPOGXG7wtzsCQOPPoYaGXDitKKD8IrJ4cCZ7xdIN2OXbAum7WSE6AmRSzY6S
EP8xBAdaAOsPj4mVF9sYcc5jV4hgXdh+O+BHyIojG365byYj2FYOJkRkLihmJc7wDQuC3hfJ9LMx
Z9iXWbNZOaROjwROdYGUT6WX9nhjRPoaAhBf8PWbPwdPiYNKvWLtRtIAnyBgepfGyrkUptOvJRaI
u5zBZx8QmfaTtpLgWocDB47tW29GGJMKMJcOc16H8XXhGFXwcyKpsFp3BWLByZiNBFE0GHlViO4y
U0x/jwceU5fNTXSaK1lcSluP9y54PSOtgTGLBA4Tz+DMy1WzU+0LgrkeUsjth6gZx0d82t3OSR3r
jhdCHZXv5qegSx003w0ELePaMh6s/jUSqEdZSuaTjov2u1n18TeibKZj5Y/lJh1qk81M9juv6qy9
abJk+0NffTepfbmori4+67grDhXe2k1WQOIZRR/uvWQAoJrN6UBmp9xPblrs8imPHkaJmAm3Sewh
6xu7u9xnoFzYiEh/iHpoNlr1noYMs+NdJduZVIGGwhDsks5MApFXkSJOCsYJxUj5zXDL4tHMtXrK
BMlgYV4Fa5FIa+e1U3qHE0XejYbXPzqePbxNaISuZmzHewjz+Gr4Sh47kUFBFxVlQzCswZs0MMdb
JsxIRw7Y5Ef+vivS/M63im4n3d485Elm84lV/ZIRNnwIk5C1WhoxOUiJly3U6DW39pS2Zd3MSOrB
f7BQhuAbGat+64XilvoVmMaXQxoTIoIZuTZi5uckbho8GpgPrFBZ32Hu+oeSmKudk9TW1skIgnVD
Nz0J3ulm4U66JFbfAJk0hlsUq8zsCzint/KnvCJirlabLvW2TgP60T4noRE8ulCyD64zhE8spuZm
GqvkHakzXD8lBuuOqJzHGbcNFFw/rGMjLG55Tf3ZjbqfKWjTY+NRErNA6xnfkVYyr+Y+tt5U6wnu
P9Jbi5LqpNE3/TVlSe7KbaMQDJv6cQK7IvQYnedtUttAMJyQZHAktNXcQs6lbyiaEXFxpJNbQUmV
W5DgEYy+B0I1PE5tZC5bekf5W8aRBCLZFceKhfhCK0F81yVcgChpiUGppLjXbmS9+FL39zFBEW9B
NBI76+diN+rWvwcpTOTOd93JIU/Ap3QlUgmxMA6An2VmZB4GYQXUxUzEfBTVPVXcRXljdxia6WWx
GU8dw1LEVOXZRN+ZX3dv2jajbNFKgXlUdWORburGkpeQ4iSeotGxSJghohcl7A0sM8xCvHt+hGJD
lS3+iAY3FbknldqlAXCVyaO9Hsi+dd86QrhSuqgGNIXkNfoJAkjiaLGBJKB1qNvle2qByUF/JEdu
Wqz4rQYUy6pbjpkyVXz1LECz0oUK52TRo7jDvIge1oj6qt+R50Q2lxpUTPZWjW27msbxcxY2wIIy
ZHNmZEBQaasE3kyRcMB/CfpYok2o6Ebrxk8vJ+1AhbeghF+1ZDJm7QbTjGd/h1YJyYZW8HFLF6PM
0uIuZR7FIbJT9GrPOzkg+mdAHSWIFXrOXypL3qnhR0SQx+I2WnDew7/hwO6G8tCHN31mZhENtRhs
YEujs1Dy3aDM/lemANkLQLZWsAswAtFaxkS0Zo8rV7bfxK+8SvyIbV0eWmMc1x7JNw+MIOAngqhP
Se0V2TtdcInQwBw4d7sHPbMDGvg9psavz6TqW/iZjfyp7GR6F3XynqywKwGyBAJnJhUdAeG9C7Ny
1K7hHDoQH5+d0pbkLbjw8uiGxjdU92yKhsX6SSYrJ2XkOuRzajP6VB76EKtxjaujrXaVuO6bH5/Q
pD77AdQ+Q3L5I2nDZGsIAqk7O/B2OGFaBA+986qRH5HHFXrFhij7cHOr02Ojr63l6IePnWRBjyQX
ppPRlsXHNO98eqIWMNTFtx5b+Kloem8lFNkrwRBEuDhDvZmiImOfoRXNV8TWJFE4oANFTbygcdhe
OQx9By+f0g9yO4KTYlD7sBw1vhWWTF7mER1vafSkhgJ3hetuSjkDuhTF63J06TiAzYrFwDQFtoby
pTpHPHN3mOdoTnOD4o7jJzsHHfc+5WFOEm+atg4fKSobLyrSelukSOhBSMjA5G3hxRknFJ2Iwtxl
L+v8YUK/j7DWdO/nWiLfBT2r2Hk0KTK/14z/h4n9B5OOCLz/Nk/5oSq//9f/LZO/sLH//HN/8rHB
bx6CPo/+IrYO/i906B8p/a77m490k2xkJIIA1jZf+jNR2fuN4h8UKB5sqQso7fw1UZmvwaMiuUDd
YDrW/4iRpZrib7pB/hX4WIRpMLzCs+y/Rej7LWTWLEW2Qnjww6/Tau8mdbcHZ7h5bHpM9vSQmDRY
BUc7F3L9/9g7s924sSyL/opR70yQlzPQVUDFHCGFZlnDCxGyZM7zcEn+TaOf6yvyx3pRslxWltNZ
nTYKMNBvHiQGyeBw7jl7r512moPXlWyUTHO1u6wsmju1brN8wUQUC6QRdFs/C8zdCJUNwFKnk/Oi
bN2kT9ep1cb7TtXAobuKP8xhHYqNa4XkBbZS19+HoirmaBLdg27Tf0bYqd/VYVSsbF/m27AqhzU4
Fe82IscAKbWvmpNBBV+IKWqIaCaBOamqavuuz5z7yiqZ7UQ26CA9cdYIK7Jk4bA8OaStJom2zmqL
aaeM7lEfyZXixoxSLSFR7jvQ1Dl26uEKoDxWdlZTK+I0GUuysDlpMxPcmOvEDwUeTIE/Qt7qpSOx
XKJon430mJYDVTa293FH8iMQ9yD2L7Qo2va5aczNxkkf6OZ05gbqcv2Q0+Nol0DU7dtOtKWchWq9
RytXrzs/QzLYclYCc5LYNyQRrkWW6eaDCln3cbR868QtLaddMhRQJEzWur5pKazvMoVebhJZ6Urr
W9pUOOZWFvw8nKSqCVDMQU/EY3WuMDnY5JET4/BA80UdUe2tvPNWAbJfOtBKFXyMUbc9ks6pvNcU
S2V9irHBIE5xHlVedOr1aNFKW6k3qYWpPs1R6TWBFexgYpziqbzExbXrkSTp+HiqMKnXWcY0t+oH
YwaLgx6YHbU3BKIRTMdAr0xtxsJgBDMhsVhmuTU3GSHMaFsTDyCzczPmPxVJ+zSifGe03KC86QGh
BnG2qowbZ/TmmlIfHFngn093Xl0z4Cq1D9VYo7wyoou+xBnqNra2loBRl0OdJtOEIloiWsmAytjM
N/HyLLIA8myHB5PhzFCm6xwHO2PIxNfWNjL7VR30LJsdFnbsh+NojEMC0gNI6tGPsCQJhlwwyczS
3DP2NjcwbdwbTkZ8y3s6PVeITNzicGF6RQ+eL4te/yTHQpGPidXhCugwEAR5mt6q0m9gcXg5urmI
kUZuZ2eRwWKj8Kn0RFpS8CK+OqGd4L6HtU9HCy0pJWweil2rjcr7MRuaE1eLkg9k4NxbaQP40w3w
7fptrd8yrDRXxWCIU92JsXZTPjGgRxi8hURQ3Blet6QXsggarYrnGp4BhKSWfW6qYmCGXnnnWZmW
2yLr+lNhKMWtyMqrwRLijBZSJwrCGI1auaqw8Q4GogM/OgI4reOfnVTCLg/QeTVo+i7sr9Ex3Chx
Xd/lPRgV0OFyBUoXqJGJUwU1OpScEBoEykRu2Qks8wx4UvMJoPJCWsEyvHQUMzqo3rOphGCzS7WC
phSLnhEr/stjp3MnCg8/KFnPoDB24cpQNVB3QaPV715gPhNPJoe6d1PnEx+nceAQVaCOVB/YTTzZ
Z/xYk09xNJF/JvtOHmNol45KdVdPv2wNEYzxljBCdAP+NJGzmf/bMsRQk6KRx+NG9Pix1nCTIQ+P
4Z3JRKKqFKbykUCTcBWigrmGXNdsGsTstYhxsJb1ZoSqtesjvbvmMlXOgR22m7ie1hEZHFT639RN
UpandibolmAQY3TALBuv2pikl6hdoah4MTN+K067Swyq4apUPZh5UDPKY5Y34TqiHt2wHrWX8Fqb
hRl2yAOzLji1I+MhIncE7Y4/rtHQpI9M5Mz7JDQqc1H7VQJXOSgIPrGhEtZhIU8LK4vmXBJ0NzD2
42Ap6vEwVeXcSMYmDIboTOs0e6V4WrJ6IXuVQ3IRp8ClHA/P2Mu5z6Gw47nlS4qQ3pFyXHGOYXn0
pD+50ZYueEyKciv8R6cyUIP7pskjU4yMyJYemIuBVuk0+RdG687pVDtwH7FIbeNRsk2gixTMLt+v
36YAfBjTIpp1w/7K8BJ06UzkkRiAOIcepgv0lJJLaFTGTV3VqBLkYFyjZ59Md0S8QfozjGuQ/cWu
z+x+k03krechfqezRZ1x0A7zXHAhE+hiDolil7VtAx9Vq4H0TUPC0DI6NA1GLae1Qkkdj/kJhoKK
+mf9ckfEkvWIUQP29WOdQ1LHCZ+ks85QI7hKvt1y+C+7SCkCnylvq9s4x7QVoaB8xOjJPhG/i+5v
oiypCZJvfAI6I9A6V43r1m6UYpGGrXPApI30AOLLtRpyp3LhCxZHMk0TffV8J8ii7h+Ytenz3MfD
HosA6NEzLk5VcWT7PKauHGv6kxd23po062JuVNPSLemmpZ0EtgCEZvotteT/cmRd4dRUxkie2x1i
C5TsOx/x7hVECX6DAVPA4Wo1wmAqax55l1ka5rQvcvWuc1x47IWm0NTr6dUHTZaqSwEgMVs5KT8v
yxRST6Xqguf7FA63qkjqXSCrA7dTY6Q4Shn3g2dudcTfLgZXG6o7/tq8sHkph0TFJa5zZgUaUrAg
DZRlX/VlMI84T0c6LGwDJasy7olXGC9NECzoMN0CUT3riw2dwkCb2cT4zMmsVu/H0m93Q6crSyUe
2p066lB0dLtLZ4UX2+cwj8AA4olMbk1MpqwBfSNHxqnm8hb1k/LeDkwGcEOo0GLLpVJuk9G2t5Wu
hKdtpOa0T0u9uaszC3YQ1VK/E7Y+ksQso2wjOwb6Fy4qgWGdSgVviprXC58fWzByd5AR57r7ZOuD
fNCawd21EycoduRdH1TjWdh1uBNrL0rnCV/NDUNAwI1RZF/IQKgRCL8gWFd55G897jpKqlDVjxp0
DvsiJQd9WURCM5eO3noz22FSLmK7UDaYm6JjeoVVzfckQAI1Bpq/ksfLGiNlAgLX1ebCDNq9VtNq
9QPfW+P1KRrUPm2CkyVhRk1Sbr5UaOhj8Wih6Ue8J7WocB/GyK9VLt3K3Tl2CLylYfGLe7wrA7FK
Pa3eabKSp9z0Pc1WUbzvSFr2IYn0FLFTaHrk8/hZMMxCVVCxChNDpuxa8gRRYvOePhnNkapvNMYd
4wfnjGtu2A89S3QtJ7MLCfREtvGEmqW0qdV8h5hCfd9CmZIEM7VQC3otmAIZeKsaLeIUv+v8dQQm
hlgPLNG4Xwa3fLTI6dvbXexAKdSBTBZCi/ZaNoH/MaRQ6TJXDKNlPujKNX/1yUtP9Ft8GRXxgXK0
H2H80LHWbdO5wUBjXXF5WnuSFF0U6tii6eLY5ymixh1koeGyddwBgbPaFVtdBsUNGQDOewV3zqMg
F8aZcYlZ6CoSjVdJHiFWMkcveMCByAhK0TJQ0EaVFFcFQ8VqB8lF2bdOmFqzUKvrB6/P4uMh0ew5
Qwu+NVRSD53ONzniLtgniI6cyZde6g+d4Sm7hqfZXB8rsdV0w16NveWuHKAj+0GX9pM9Sed7dwoz
GMiTGjPZAUxo435uqA6aO9MwNwBPXNQCPRD80Yh2NKqpMR2V90EqabeLIk1BVUtbPSstnyAApHbV
xm8HurMoWk5soJvC4pdhyhybiX/o2NYxF5dFB8Zr5gKZztqOckZEIzPg41Htp45HhOUs1P011Fi6
QlSLR7nSV3hTNeXMoxqYj4Ujj2oN9aKqNfJcEyLdDKp0aG/fmHTJbjn1Fe/QPNmnlk0e90iY/YKn
vLJsncTehU2mbVA3PAgl9c8xNuPx0bp0i+CeaULQ2+cSegUIU9WAxKuL4tgLHIDyEqVFYFMQJmZG
SnLq9ZejN2AZSrz+yLKd9LrWUKhopdpeYHIuZwxyCwzKAzya3PVGBJCmes50ojsWgnkWMagPcnJc
qWBHaQBCeSFrXk9OwsBgnlkLfFAevd5FzLIR30blqwsq6R5TFouIRgwebyhBOksMDSIZlWypElC6
KYWsT00JUXe0s/GxpEWz0ZB17kzTEAgaWoUKyVX2Ifr7j9PCLqCJ2efcIIW8KSVqH8uqt1bBNCUV
ANzgpwz+AVsMp7PnmVUxyDw1GVrpgILTaptEWneE2qPZ8EDAfJt6rX7UjW5YrAWjI6YEruHeJ3D7
cFoJOzzrZJYWawapwUMUTxZaEaEzyIKpDYnXn1e6AkphESZJ9zQ2I9h93bUJq/CAr0xXotHveJbo
m77vjQuXAfd9pjlY6my9AKqX+O6V4qgMhiq3z48zBwLZwm5cZwuvB1R0Bqrhfd3YBoxqetrbGE3Z
uhB6vuyRNewSUef6nLmS0a8qRxPYmEWhPrVuINo5T+chXzU8benJw7q5px8dH3JbTtKplBNUDbzP
YJdASkYj1O+70hS7McyV6y6nKdASNnJhAEenLEyxDpDJFHknXeOVJwyf/CVSGDApMXimJVLtmlwR
d9SNeYmi8H4IOnnn50N6iYwy2gXch5eIk3n9dVT67wP8NzHbU83FUIFaYzbmCioQUi1WqVu2aHdC
Z9lLF5oziGTiWix0gGd10jbgffMhv/dik7zPULV8uhh+dA7Zjyj0SHOgmg0of46lMzpXHd26e9A2
dLcZoC6EZhenLuu9TVYml3ViakdZgHkjdKV3Y5oOfuiCLPBVqjGlXBq1752E9mhOakbYxlWi4kOJ
QWSf9rrszyMFIMOMvCD/Mg+8+Mobmu6x5+GboqTuI0Q/A3Rm3hAKKQQjPelbnhZ82sgrg3Fl6vJU
9ZHP0AXO044VZ9w/EPwHydlu6RD08AW3ZCvsuCWLYKm4ucuEyxKob8u2UB+ppKuNUUL3KyjTWR6Z
iF0Zd/TNuV8z6JtJzRPvkToGe/KBlUVPV3WnuUA1w7rbqq1pQdUqesKyzNJYcSVpgMLIwcV661dn
Pf2tdVE1/pmGVTice1pmcJuZLUphQbBEkOnQlgKsKgvFkSVDkxwxvx5W4LsbH4WH5zwFeUASxzDU
5qmtJrwguyrUTlhaQfjv4esBPmotptVZpNnDPDay8KhnbLVGDp0sVXjjUAEK3oyFexTy6ifJ3Wiy
CxS6SEoKw8QKW7E6gc0ul3GQKxe5AVGJgR5JJ14cHtE5GmDDwNRJ/SseUueNwnBCsUjcDuk6WDEx
HUM0OAsRWv5jWifXgxgWAe3vvZo15SK2lWrfGpV+J0NPALNmpNI2njULSvNC1sFWKcql6zRQGHls
u7xdFBGcMyNcpQo4cALRZa/t/Tw4ZXFcoSkh4arXlmkVb72QtA7PMm6CnDGZql7VOFhnrtOuIlfe
FZ59VBVgkQZuSyL94KdnwTDsRY1oAc3p1iUFe5bAmqlEPK5jUw0hU+fDuKgGb1H5rrVScrs+MZt8
WELIwgRgNMR7OWl5rxVCrCSzlX1ted5WcZC4oq6tjM0IXJbphtapH9HkFydctTyKDDy0DPXHa4Hz
YtcqGQwWLbDb80rvskvHb7RlST7SLB5NvHTGeIUi4shO62aeZR1rLeTDyzGRxlHckWNLECJoK6Vf
x30L+r0YyT8zIiKI+nqkOGVQvfVTzLVVxYoz0CFk+hFuymbC9nYUKrsQXcvCTQmNXgcIKi6UXGsf
adLmJ+jQ+3UfyGqdG8JZxdho56z59CPmOsO+0P36xFI0VCOG09mXVWe1R3Fgj5STvf3BZgQIKFUw
YqCwnFs51CbCQBL4n0W4co3RelA0BsyxnSe36NjNhZuo0a4KkGIptepS5MbWjW4EYjl03bhNssBa
GYMgnwc9T3pem5F2YhRKu9QEavBUus5mIHvoerLTr1pFdz5gCGn2aTm4cG+aGAdvHFzZLOGe1F6H
DFzHst4nhaYuG2jaO9PJzWMJwZ6mQJr262QaoKk8tpZDzPOqHoaJ2BnlLDqCxlhUkRrf6RErcRDS
/hk6N2fPuiNZaqGPhzrHW4IpRTmjr6kvmUe655BEEHzRnV2hFiw2iadYy9Eyh3RmNfHOC427HN4q
zo/WxMsig6fIrxxIfs5woZs1F1JSKDRRw04/lA5nrtcLb0v+Q0yTRK0u/cFSmFDF7FCOak6LhmLv
FHimg9H2F9BNcaQHCh4WIp6HBSQFqNMe7ptcdavTRCjFJGOTAp+mMZB/RkR2vgD0hAwQ6Tohxiht
6cIN5LZpU7ZAXMKHp2wi3kx0C5DQRBrl6fgQuQlliTCKvcs0fBP1pXIU6kOwFFamLm2rlUeMXuSW
XnJNfgElagrNZQN6cbzv6cXyGKuyi3HqLLfF0CP8i6orV83KFc6MNevw6Ag7gEO6hquvkQu0XLsY
+SkyO0ygSssZQR9sN/ZcYNTa2UVBBzHLG4yRvX09VCMULRI4gekZMCzJGJnCZph2d7zutiLtXeJX
fd2/ISHPubQUJlQz2Hv5KsdCeQoyPDyJAM8j73el2GaezKv/N+6FzbB9/CvjIgvpBlGVv2/dmz8d
qre0j8+/9GlWpNu/0E8XjiMAhxiEbDH0+TQrMrRfDOx8Kq4EjZGQM02mXmdF4hfbMS3ce5qtYfxT
vzDv2b84JmY/1ya41rBMZlr/l1ERFIm3kyIDw71jMseiWrSpTFUO+EvChNEDkKtCFK5W04EVt+Gk
shQYy/px6HIznEWAONdY3tGhAXDsH57H6oaw4kPH06maVZqkeDWRHdzqbdgehqitvcWY16iEedAO
jz7cZQkG0+qSRRkOFmXTZFrxNVhTM4suzMdGCO18QEefHPWoJ9DyyAGJG4x/75pUjlHiPFM6BFLg
t2CRWQydg1HQ6mkbtO3zcJAqSbhhLk40L0zuvFDsK8ty4o1qtB6yU4nVfibB70EJHYfuGi4uCYea
McRnYyS7fqF2nr4bo9zIF1GYZAByBiJRFxnv1F2l1dPip5DhfS8jIkJ1K032imoBqhfJaIhZ6AJR
nbed2gDB7hNonmZD2Yf8H2iB1dcCDWPvNRdqYCsHUZYYhMkiAwzBqSswD9X1WdHDnZg8wLxx4DH4
MdAL38cC7OjDrKhdrFhW2bVHmu4l5kqN0+ZK+g4OLOlJYLZpRm3WhSES0lpTI9SjNuauXYr8EZKd
FkYfR0cjlKZgwkcTBRnTDiWv466pE6MrFGj2SdBhXeJx7aQHVorYRgZVg/XrgcO+k344RSKjao03
oZVGtygVqVr1xi69lW9SIcwDzQs+lHjIW2YsTGzOM1vNm3Kpt3bQrY3aKBG71jLQD1FSJLc8hV0A
10af4EQKS0CNGJXBi82E3uj6HDBFfNe2ozgh595GMQovLWP5TB/hENvjaB8VuuWZxxAvWqub25bE
8p+GYxVvkB974DhZIkySOBe2pgpIpsaQJ4uI5aTW1CuNmUC+zpVWNdd0i+qbmPDRfGlSqywn6oS/
NLTCJsRLcxHO6Fla4dJ2EDOicgBkt9BLdOR4VKNkOIt4aTE2C0nyBKuRNQ65CELc6XExwLOk2uZd
LFn+nVDuVgQHEGoNtiVWiHzzi5LU7c5NUTc4todKiX6X2BSN7I0dM50mObO8NJFX3Fz5e2wcKteC
oib5Sec32F9HWhFzuw2Q88L/PZ/wLpRGwtPWnueh52ES2Q5revCV9j5jGZOsCCDDJ1SoHaVaVLXy
vBSGfo9uUyVRq/Qjl1Wr0ye31TQGXcfOZF0f3IqRghmpZMnYULzuEcoitqT1VkRrIBc+L1sF64UN
xKy4xenT7n0/Eeo8MdLhfFAdnaQzV2EvIQ+nRw31FR1AKbSUM1sHnAxliC6pq6qr0hIU+pSZdz6z
ciyeMLVVnD5cQ7QE4vq9n0Lgnel1qd3xCqc9QKsx25e9S4vbAfQlAcV6yQeuP7geYdLp9xHwrdtK
8HnLvrOzayU3iaw2gaFslcYe+nVdhJAs0mxMr3NqOHprnZvsdXi65pLFpXJcDchQUct37fsuVTKQ
Bn1ZMGATubmHJQirM3KkFZO2o+II4jWLxK8dzapdMmMlTScu7Sqk5uTbADtRg03qfcMgpsNvaK1Z
qTcNXWX5MSwgqXCXm2AHUxbeGtd73EYrTdGIBAqVrryRvVNCeHcBJ/NcCfVjXuesXkZNos1SJDlD
uII1FhaGIpRTOngMWQP6A1cO+etMIRjRb4eQUSmfWFCW+azfF2aadzTGzdrHuJ0a6vs6iphMU2mo
xFrJFmZ/WgB1kJVm5Bsv8+NzV7NVQil5+o/7uJbyroM+uPA9867SdJ9WJbppyGNB0NTrIsvkgqkX
qX+DU+bM6yoYU4jwUShDVh+JlIOUIQjXCxkMbxg6yXCmG00vN6hU9VPMDoxxem6E89Av0QqVZGqd
ptVQHYI8xtCtmwA8ECQ4ymWPpimdZaYe72zGrZFuJPY+Fl2/GQKmcUf2IGTOTLJvLz2XF98xYF/3
Y5bQsJoxYQmvIgin2YK6E/ZLFtcJswk/rnwISSUuNLMj4G5WEbyDBLeQSKRY14BuQLDWXkzrz3jV
GdNQKTMysox4TOE9JbLSroHBgTZaoDWFIMgrGhwg7VDmXnUHRltpPZRgXlj7H8YsAOSdAN1l47E6
LHtBS2Y7eGXwoWjwPSywutB3GtuWgZLDAiOm7kwbXrUxz405/adGvqCufiJB0KddXRyaw5K082Y4
b5+q4eKpbpPmM9xsHoTJ4/N/h0/1/+UHXulo/7qBd0/PnzYVg19UWc8/dzUUTy8f/fIz09//dsDK
kC2IJGdl3/zXtNdf/Ofz34mA/vLXPx3Yv37yV/fp9R834VN1qD4Ew/PRDp/28uSQPv31L3//UD19
SZIA7/D612kX//qXN/v4RW37zY0mBz8/1K8bms4Hq3bQcf88vD+54fQw5tlvtmxoP2CXZ4fgrYgL
qRaV7ffu8OrpkXOfvHv9kl+3+Lxe0LhIvvsTlnXx6z/IdM/fXR5opbxu8OWckxf4+g9//ttc5+Gv
//32yxTCYfHxvSdnf6gOWfDr/7zZaaGiiPkR2+aMMFREbfbukXPTJq/bnM6MUCEgvv7Dnz8z+8Pn
D3nd2MvWWaS9/sOf3/rZb9eKwtQmmOT3nna2e/j1Hw9vJIvCFD/i/jx7qrJD+tB+ePuVmixWv3+/
L0K+yqd3uwNK3+rtB9iO9gOeLtMHrLkk+RAumZO8at48GgX6zQmy8/yM//Nf69tP+e2FOWlEv/8z
pkfB4d2c918VZm+/aFiiP+D2uuSufXd2AInyurPPF77rTADQ7z1Dl0+VHxZvzr2uPjcivnfLV/kH
zkyYvXma6aRj/IBz/vsk1++8YPZ8hfW7Ne+R8O1+A4r9AV/lWXhof/3H67c2fY06G/4B776L3+dU
fecZ+QPV9XdufXo+Zr/t0hmqaf+AZ++3GoDf3O2vVX5/e1MiLqfff1vK/uEPfC6GOWbura9s4o9/
4rXK/MomPj0JpmuKYdtUMnxujT5/1NtS9G2d8e0H7Bcf9rqR5yuX+4GP+HSyvvih356XT9ze3zvq
f++YhPr8nv/WMX2lQvgZDuyl0PjWgXFu/3mL/BSH9FyDfPOQ/qV4+RmO66X0+dZxfb1u+jmObSqG
/ujY/lmyfVFM/QyH91KKfevwvl7H/RTH9lwJfvPY/qWE/AmOS9d0F+T6N49rgma++3v6RFPnc+n9
cmgfct7RGS/aL7bwxUvqzZvMVad6gw/6D73Mpl7Etw5rVh3q8PMi+vV4WiJNaaz5YZ598eu/d0yf
T95/6pheKuRvHdbXiuuf4Tr8fHm8VDJfKadeK/qXoykSls0v191/6OS7z+2tb537l6YYLZRPXbK3
e/x7jcffu7j+3dLvjw6finf6kQ8Js/q//S8AAAD//w==</cx:binary>
              </cx:geoCache>
            </cx:geography>
          </cx:layoutPr>
          <cx:valueColors>
            <cx:minColor>
              <a:srgbClr val="5CB8E6"/>
            </cx:minColor>
          </cx:valueColors>
        </cx:series>
      </cx:plotAreaRegion>
    </cx:plotArea>
    <cx:legend pos="r" align="min" overlay="0">
      <cx:txPr>
        <a:bodyPr spcFirstLastPara="1" vertOverflow="ellipsis" horzOverflow="overflow" wrap="square" lIns="0" tIns="0" rIns="0" bIns="0" anchor="ctr" anchorCtr="1"/>
        <a:lstStyle/>
        <a:p>
          <a:pPr algn="ctr" rtl="0">
            <a:defRPr>
              <a:latin typeface="Segoe UI" panose="020B0502040204020203" pitchFamily="34" charset="0"/>
              <a:ea typeface="Segoe UI" panose="020B0502040204020203" pitchFamily="34" charset="0"/>
              <a:cs typeface="Segoe UI" panose="020B0502040204020203" pitchFamily="34" charset="0"/>
            </a:defRPr>
          </a:pPr>
          <a:endParaRPr lang="en-US" sz="900" b="0" i="0" u="none" strike="noStrike" baseline="0">
            <a:solidFill>
              <a:sysClr val="windowText" lastClr="000000">
                <a:lumMod val="65000"/>
                <a:lumOff val="35000"/>
              </a:sysClr>
            </a:solidFill>
            <a:latin typeface="Segoe UI" panose="020B0502040204020203" pitchFamily="34" charset="0"/>
            <a:cs typeface="Segoe UI" panose="020B0502040204020203" pitchFamily="34" charset="0"/>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microsoft.com/office/2014/relationships/chartEx" Target="../charts/chartEx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35486</xdr:colOff>
      <xdr:row>0</xdr:row>
      <xdr:rowOff>169957</xdr:rowOff>
    </xdr:from>
    <xdr:ext cx="2084187" cy="401544"/>
    <xdr:pic>
      <xdr:nvPicPr>
        <xdr:cNvPr id="2" name="Imagem 3">
          <a:extLst>
            <a:ext uri="{FF2B5EF4-FFF2-40B4-BE49-F238E27FC236}">
              <a16:creationId xmlns:a16="http://schemas.microsoft.com/office/drawing/2014/main" id="{32F7B812-2854-4C00-9E7E-ECF947435DFB}"/>
            </a:ext>
          </a:extLst>
        </xdr:cNvPr>
        <xdr:cNvPicPr>
          <a:picLocks noChangeAspect="1"/>
        </xdr:cNvPicPr>
      </xdr:nvPicPr>
      <xdr:blipFill rotWithShape="1">
        <a:blip xmlns:r="http://schemas.openxmlformats.org/officeDocument/2006/relationships" r:embed="rId1"/>
        <a:srcRect l="11287" t="42147" r="10164" b="42558"/>
        <a:stretch/>
      </xdr:blipFill>
      <xdr:spPr>
        <a:xfrm>
          <a:off x="151903" y="169957"/>
          <a:ext cx="2084187" cy="4015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645584</xdr:colOff>
      <xdr:row>68</xdr:row>
      <xdr:rowOff>74083</xdr:rowOff>
    </xdr:from>
    <xdr:to>
      <xdr:col>19</xdr:col>
      <xdr:colOff>1818</xdr:colOff>
      <xdr:row>89</xdr:row>
      <xdr:rowOff>0</xdr:rowOff>
    </xdr:to>
    <xdr:graphicFrame macro="">
      <xdr:nvGraphicFramePr>
        <xdr:cNvPr id="3" name="Chart 2">
          <a:extLst>
            <a:ext uri="{FF2B5EF4-FFF2-40B4-BE49-F238E27FC236}">
              <a16:creationId xmlns:a16="http://schemas.microsoft.com/office/drawing/2014/main" id="{42614470-DA42-4535-8716-7EA88ECC1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2900502</xdr:colOff>
      <xdr:row>46</xdr:row>
      <xdr:rowOff>70532</xdr:rowOff>
    </xdr:from>
    <xdr:to>
      <xdr:col>19</xdr:col>
      <xdr:colOff>0</xdr:colOff>
      <xdr:row>68</xdr:row>
      <xdr:rowOff>42333</xdr:rowOff>
    </xdr:to>
    <xdr:graphicFrame macro="">
      <xdr:nvGraphicFramePr>
        <xdr:cNvPr id="4" name="Chart 3">
          <a:extLst>
            <a:ext uri="{FF2B5EF4-FFF2-40B4-BE49-F238E27FC236}">
              <a16:creationId xmlns:a16="http://schemas.microsoft.com/office/drawing/2014/main" id="{AE388952-ED5E-471D-8C10-E4A50A43C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37041</xdr:colOff>
      <xdr:row>46</xdr:row>
      <xdr:rowOff>78441</xdr:rowOff>
    </xdr:from>
    <xdr:to>
      <xdr:col>10</xdr:col>
      <xdr:colOff>613833</xdr:colOff>
      <xdr:row>68</xdr:row>
      <xdr:rowOff>63500</xdr:rowOff>
    </xdr:to>
    <xdr:graphicFrame macro="">
      <xdr:nvGraphicFramePr>
        <xdr:cNvPr id="5" name="Chart 4">
          <a:extLst>
            <a:ext uri="{FF2B5EF4-FFF2-40B4-BE49-F238E27FC236}">
              <a16:creationId xmlns:a16="http://schemas.microsoft.com/office/drawing/2014/main" id="{80299197-4C74-4B49-90F7-FBA17FDA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47624</xdr:colOff>
      <xdr:row>68</xdr:row>
      <xdr:rowOff>82567</xdr:rowOff>
    </xdr:from>
    <xdr:to>
      <xdr:col>10</xdr:col>
      <xdr:colOff>613833</xdr:colOff>
      <xdr:row>89</xdr:row>
      <xdr:rowOff>10583</xdr:rowOff>
    </xdr:to>
    <xdr:graphicFrame macro="">
      <xdr:nvGraphicFramePr>
        <xdr:cNvPr id="6" name="Chart 5">
          <a:extLst>
            <a:ext uri="{FF2B5EF4-FFF2-40B4-BE49-F238E27FC236}">
              <a16:creationId xmlns:a16="http://schemas.microsoft.com/office/drawing/2014/main" id="{73A84CA5-151D-4003-A22A-B4775D92F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645583</xdr:colOff>
      <xdr:row>46</xdr:row>
      <xdr:rowOff>73023</xdr:rowOff>
    </xdr:from>
    <xdr:to>
      <xdr:col>17</xdr:col>
      <xdr:colOff>2871543</xdr:colOff>
      <xdr:row>68</xdr:row>
      <xdr:rowOff>52916</xdr:rowOff>
    </xdr:to>
    <xdr:grpSp>
      <xdr:nvGrpSpPr>
        <xdr:cNvPr id="7" name="Group 6">
          <a:extLst>
            <a:ext uri="{FF2B5EF4-FFF2-40B4-BE49-F238E27FC236}">
              <a16:creationId xmlns:a16="http://schemas.microsoft.com/office/drawing/2014/main" id="{68A3E73B-222A-4EEB-8959-CE61C58A91A8}"/>
            </a:ext>
          </a:extLst>
        </xdr:cNvPr>
        <xdr:cNvGrpSpPr/>
      </xdr:nvGrpSpPr>
      <xdr:grpSpPr>
        <a:xfrm>
          <a:off x="8064500" y="20318940"/>
          <a:ext cx="8004460" cy="4170893"/>
          <a:chOff x="5783792" y="9058273"/>
          <a:chExt cx="5184000" cy="3816000"/>
        </a:xfrm>
      </xdr:grpSpPr>
      <mc:AlternateContent xmlns:mc="http://schemas.openxmlformats.org/markup-compatibility/2006">
        <mc:Choice xmlns:cx6="http://schemas.microsoft.com/office/drawing/2016/5/12/chartex" Requires="cx6">
          <xdr:graphicFrame macro="">
            <xdr:nvGraphicFramePr>
              <xdr:cNvPr id="8" name="Chart 7">
                <a:extLst>
                  <a:ext uri="{FF2B5EF4-FFF2-40B4-BE49-F238E27FC236}">
                    <a16:creationId xmlns:a16="http://schemas.microsoft.com/office/drawing/2014/main" id="{B1820883-8338-C1AA-059E-E2D7BF2A74C3}"/>
                  </a:ext>
                </a:extLst>
              </xdr:cNvPr>
              <xdr:cNvGraphicFramePr/>
            </xdr:nvGraphicFramePr>
            <xdr:xfrm>
              <a:off x="5783792" y="9058273"/>
              <a:ext cx="5184000" cy="381600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783792" y="9058273"/>
                <a:ext cx="5184000" cy="381600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sp macro="" textlink="">
        <xdr:nvSpPr>
          <xdr:cNvPr id="9" name="TextBox 8">
            <a:extLst>
              <a:ext uri="{FF2B5EF4-FFF2-40B4-BE49-F238E27FC236}">
                <a16:creationId xmlns:a16="http://schemas.microsoft.com/office/drawing/2014/main" id="{06A34F18-1CEC-10EB-5551-978C8FAF4278}"/>
              </a:ext>
            </a:extLst>
          </xdr:cNvPr>
          <xdr:cNvSpPr txBox="1"/>
        </xdr:nvSpPr>
        <xdr:spPr>
          <a:xfrm>
            <a:off x="8244416" y="11059585"/>
            <a:ext cx="42333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bg2">
                    <a:lumMod val="25000"/>
                  </a:schemeClr>
                </a:solidFill>
                <a:latin typeface="Segoe UI" panose="020B0502040204020203" pitchFamily="34" charset="0"/>
                <a:cs typeface="Segoe UI" panose="020B0502040204020203" pitchFamily="34" charset="0"/>
              </a:rPr>
              <a:t>8%</a:t>
            </a:r>
          </a:p>
        </xdr:txBody>
      </xdr:sp>
      <xdr:sp macro="" textlink="">
        <xdr:nvSpPr>
          <xdr:cNvPr id="10" name="TextBox 9">
            <a:extLst>
              <a:ext uri="{FF2B5EF4-FFF2-40B4-BE49-F238E27FC236}">
                <a16:creationId xmlns:a16="http://schemas.microsoft.com/office/drawing/2014/main" id="{8ADC277E-EFBE-5FF8-8430-979497851C70}"/>
              </a:ext>
            </a:extLst>
          </xdr:cNvPr>
          <xdr:cNvSpPr txBox="1"/>
        </xdr:nvSpPr>
        <xdr:spPr>
          <a:xfrm>
            <a:off x="8885044" y="10452028"/>
            <a:ext cx="42333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bg2">
                    <a:lumMod val="25000"/>
                  </a:schemeClr>
                </a:solidFill>
                <a:latin typeface="Segoe UI" panose="020B0502040204020203" pitchFamily="34" charset="0"/>
                <a:cs typeface="Segoe UI" panose="020B0502040204020203" pitchFamily="34" charset="0"/>
              </a:rPr>
              <a:t>4%</a:t>
            </a:r>
          </a:p>
        </xdr:txBody>
      </xdr:sp>
      <xdr:sp macro="" textlink="">
        <xdr:nvSpPr>
          <xdr:cNvPr id="11" name="TextBox 10">
            <a:extLst>
              <a:ext uri="{FF2B5EF4-FFF2-40B4-BE49-F238E27FC236}">
                <a16:creationId xmlns:a16="http://schemas.microsoft.com/office/drawing/2014/main" id="{587936B6-F268-A643-F796-04D17DCEFD40}"/>
              </a:ext>
            </a:extLst>
          </xdr:cNvPr>
          <xdr:cNvSpPr txBox="1"/>
        </xdr:nvSpPr>
        <xdr:spPr>
          <a:xfrm>
            <a:off x="8587008" y="11698598"/>
            <a:ext cx="42333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bg2">
                    <a:lumMod val="25000"/>
                  </a:schemeClr>
                </a:solidFill>
                <a:latin typeface="Segoe UI" panose="020B0502040204020203" pitchFamily="34" charset="0"/>
                <a:cs typeface="Segoe UI" panose="020B0502040204020203" pitchFamily="34" charset="0"/>
              </a:rPr>
              <a:t>3%</a:t>
            </a:r>
          </a:p>
        </xdr:txBody>
      </xdr:sp>
      <xdr:sp macro="" textlink="">
        <xdr:nvSpPr>
          <xdr:cNvPr id="12" name="TextBox 11">
            <a:extLst>
              <a:ext uri="{FF2B5EF4-FFF2-40B4-BE49-F238E27FC236}">
                <a16:creationId xmlns:a16="http://schemas.microsoft.com/office/drawing/2014/main" id="{C683EFB6-1366-A8C5-F180-AA3894E54AE2}"/>
              </a:ext>
            </a:extLst>
          </xdr:cNvPr>
          <xdr:cNvSpPr txBox="1"/>
        </xdr:nvSpPr>
        <xdr:spPr>
          <a:xfrm>
            <a:off x="8056034" y="12098867"/>
            <a:ext cx="42333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bg2">
                    <a:lumMod val="25000"/>
                  </a:schemeClr>
                </a:solidFill>
                <a:latin typeface="Segoe UI" panose="020B0502040204020203" pitchFamily="34" charset="0"/>
                <a:cs typeface="Segoe UI" panose="020B0502040204020203" pitchFamily="34" charset="0"/>
              </a:rPr>
              <a:t>3%</a:t>
            </a:r>
          </a:p>
        </xdr:txBody>
      </xdr:sp>
      <xdr:sp macro="" textlink="">
        <xdr:nvSpPr>
          <xdr:cNvPr id="13" name="Rectangle 12">
            <a:extLst>
              <a:ext uri="{FF2B5EF4-FFF2-40B4-BE49-F238E27FC236}">
                <a16:creationId xmlns:a16="http://schemas.microsoft.com/office/drawing/2014/main" id="{C8EA3A48-4C46-0376-3AD9-AFFB2D7DA460}"/>
              </a:ext>
            </a:extLst>
          </xdr:cNvPr>
          <xdr:cNvSpPr/>
        </xdr:nvSpPr>
        <xdr:spPr>
          <a:xfrm>
            <a:off x="9281584" y="12213167"/>
            <a:ext cx="158750" cy="137583"/>
          </a:xfrm>
          <a:prstGeom prst="rect">
            <a:avLst/>
          </a:prstGeom>
          <a:solidFill>
            <a:srgbClr val="2198C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TextBox 13">
            <a:extLst>
              <a:ext uri="{FF2B5EF4-FFF2-40B4-BE49-F238E27FC236}">
                <a16:creationId xmlns:a16="http://schemas.microsoft.com/office/drawing/2014/main" id="{CE271415-C5BE-0E5A-FE5E-3E41222E1A9E}"/>
              </a:ext>
            </a:extLst>
          </xdr:cNvPr>
          <xdr:cNvSpPr txBox="1"/>
        </xdr:nvSpPr>
        <xdr:spPr>
          <a:xfrm>
            <a:off x="9417049" y="12136968"/>
            <a:ext cx="137795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bg2">
                    <a:lumMod val="25000"/>
                  </a:schemeClr>
                </a:solidFill>
                <a:latin typeface="Segoe UI" panose="020B0502040204020203" pitchFamily="34" charset="0"/>
                <a:cs typeface="Segoe UI" panose="020B0502040204020203" pitchFamily="34" charset="0"/>
              </a:rPr>
              <a:t>11% - Pulverizado</a:t>
            </a:r>
          </a:p>
        </xdr:txBody>
      </xdr:sp>
    </xdr:grpSp>
    <xdr:clientData/>
  </xdr:twoCellAnchor>
  <xdr:oneCellAnchor>
    <xdr:from>
      <xdr:col>1</xdr:col>
      <xdr:colOff>35486</xdr:colOff>
      <xdr:row>0</xdr:row>
      <xdr:rowOff>169957</xdr:rowOff>
    </xdr:from>
    <xdr:ext cx="2084187" cy="401544"/>
    <xdr:pic>
      <xdr:nvPicPr>
        <xdr:cNvPr id="19" name="Imagem 3">
          <a:extLst>
            <a:ext uri="{FF2B5EF4-FFF2-40B4-BE49-F238E27FC236}">
              <a16:creationId xmlns:a16="http://schemas.microsoft.com/office/drawing/2014/main" id="{4012D720-8DC5-4EBB-B4BF-1CE4C5FBCAD0}"/>
            </a:ext>
          </a:extLst>
        </xdr:cNvPr>
        <xdr:cNvPicPr>
          <a:picLocks noChangeAspect="1"/>
        </xdr:cNvPicPr>
      </xdr:nvPicPr>
      <xdr:blipFill rotWithShape="1">
        <a:blip xmlns:r="http://schemas.openxmlformats.org/officeDocument/2006/relationships" r:embed="rId6"/>
        <a:srcRect l="11287" t="42147" r="10164" b="42558"/>
        <a:stretch/>
      </xdr:blipFill>
      <xdr:spPr>
        <a:xfrm>
          <a:off x="149786" y="169957"/>
          <a:ext cx="2084187" cy="4015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35486</xdr:colOff>
      <xdr:row>0</xdr:row>
      <xdr:rowOff>169957</xdr:rowOff>
    </xdr:from>
    <xdr:ext cx="2084187" cy="401544"/>
    <xdr:pic>
      <xdr:nvPicPr>
        <xdr:cNvPr id="3" name="Imagem 3">
          <a:extLst>
            <a:ext uri="{FF2B5EF4-FFF2-40B4-BE49-F238E27FC236}">
              <a16:creationId xmlns:a16="http://schemas.microsoft.com/office/drawing/2014/main" id="{920B2429-0910-481D-804C-00D7BFA3DE04}"/>
            </a:ext>
          </a:extLst>
        </xdr:cNvPr>
        <xdr:cNvPicPr>
          <a:picLocks noChangeAspect="1"/>
        </xdr:cNvPicPr>
      </xdr:nvPicPr>
      <xdr:blipFill rotWithShape="1">
        <a:blip xmlns:r="http://schemas.openxmlformats.org/officeDocument/2006/relationships" r:embed="rId1"/>
        <a:srcRect l="11287" t="42147" r="10164" b="42558"/>
        <a:stretch/>
      </xdr:blipFill>
      <xdr:spPr>
        <a:xfrm>
          <a:off x="149786" y="169957"/>
          <a:ext cx="2084187" cy="401544"/>
        </a:xfrm>
        <a:prstGeom prst="rect">
          <a:avLst/>
        </a:prstGeom>
      </xdr:spPr>
    </xdr:pic>
    <xdr:clientData/>
  </xdr:oneCellAnchor>
</xdr:wsDr>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Santa%20Catarina%20(state)" TargetMode="External"/><Relationship Id="rId13" Type="http://schemas.openxmlformats.org/officeDocument/2006/relationships/hyperlink" Target="https://www.bing.com/th?id=OSK.bd02a1429938bca1dc5bc8304028bb0c&amp;qlt=95" TargetMode="External"/><Relationship Id="rId18" Type="http://schemas.openxmlformats.org/officeDocument/2006/relationships/hyperlink" Target="https://www.bing.com/images/search?form=xlimg&amp;q=Par%c3%a1" TargetMode="External"/><Relationship Id="rId3" Type="http://schemas.openxmlformats.org/officeDocument/2006/relationships/hyperlink" Target="https://www.bing.com/th?id=OSK.29751007cf160ea55ecca603ade1abb0&amp;qlt=95" TargetMode="External"/><Relationship Id="rId7" Type="http://schemas.openxmlformats.org/officeDocument/2006/relationships/hyperlink" Target="https://www.bing.com/th?id=OSK.96286a1b4735a8da35f6bbec4fbdfee2&amp;qlt=95" TargetMode="External"/><Relationship Id="rId12" Type="http://schemas.openxmlformats.org/officeDocument/2006/relationships/hyperlink" Target="https://www.bing.com/images/search?form=xlimg&amp;q=Mato%20Grosso" TargetMode="External"/><Relationship Id="rId17" Type="http://schemas.openxmlformats.org/officeDocument/2006/relationships/hyperlink" Target="https://www.bing.com/th?id=OSK.3f1aa2cecd23eda384e0adf561cc8902&amp;qlt=95" TargetMode="External"/><Relationship Id="rId2" Type="http://schemas.openxmlformats.org/officeDocument/2006/relationships/hyperlink" Target="https://www.bing.com/images/search?form=xlimg&amp;q=S%c3%a3o%20Paulo%20(state)" TargetMode="External"/><Relationship Id="rId16" Type="http://schemas.openxmlformats.org/officeDocument/2006/relationships/hyperlink" Target="https://www.bing.com/images/search?form=xlimg&amp;q=Rio%20Grande%20do%20Sul" TargetMode="External"/><Relationship Id="rId20" Type="http://schemas.openxmlformats.org/officeDocument/2006/relationships/hyperlink" Target="https://www.bing.com/images/search?form=xlimg&amp;q=Pernambuco" TargetMode="External"/><Relationship Id="rId1" Type="http://schemas.openxmlformats.org/officeDocument/2006/relationships/hyperlink" Target="https://www.bing.com/th?id=OSK.7695e189827b940b156ea581416a4286&amp;qlt=95" TargetMode="External"/><Relationship Id="rId6" Type="http://schemas.openxmlformats.org/officeDocument/2006/relationships/hyperlink" Target="https://www.bing.com/images/search?form=xlimg&amp;q=Goi%c3%a1s" TargetMode="External"/><Relationship Id="rId11" Type="http://schemas.openxmlformats.org/officeDocument/2006/relationships/hyperlink" Target="https://www.bing.com/th?id=OSK.0082cb89dce5beef60cc242fa84879b9&amp;qlt=95" TargetMode="External"/><Relationship Id="rId5" Type="http://schemas.openxmlformats.org/officeDocument/2006/relationships/hyperlink" Target="https://www.bing.com/th?id=OSK.68d4a005d24a76aec4298ebda56c17de&amp;qlt=95" TargetMode="External"/><Relationship Id="rId15" Type="http://schemas.openxmlformats.org/officeDocument/2006/relationships/hyperlink" Target="https://www.bing.com/th?id=OSK.7bf0281a457e9e15fbe8aee95bf85562&amp;qlt=95" TargetMode="External"/><Relationship Id="rId10" Type="http://schemas.openxmlformats.org/officeDocument/2006/relationships/hyperlink" Target="https://www.bing.com/images/search?form=xlimg&amp;q=Federal%20District%20(Brazil)" TargetMode="External"/><Relationship Id="rId19" Type="http://schemas.openxmlformats.org/officeDocument/2006/relationships/hyperlink" Target="https://www.bing.com/th?id=OSK.1a81c0cb9c1bf94f97de66c7dbf24592&amp;qlt=95" TargetMode="External"/><Relationship Id="rId4" Type="http://schemas.openxmlformats.org/officeDocument/2006/relationships/hyperlink" Target="https://www.bing.com/images/search?form=xlimg&amp;q=Minas%20Gerais" TargetMode="External"/><Relationship Id="rId9" Type="http://schemas.openxmlformats.org/officeDocument/2006/relationships/hyperlink" Target="https://www.bing.com/th?id=OSK.14910895dabf26c75c08467f23c20f8b&amp;qlt=95" TargetMode="External"/><Relationship Id="rId14" Type="http://schemas.openxmlformats.org/officeDocument/2006/relationships/hyperlink" Target="https://www.bing.com/images/search?form=xlimg&amp;q=Rio%20de%20Janeiro%20(state)"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Srd>
</file>

<file path=xl/richData/rdarray.xml><?xml version="1.0" encoding="utf-8"?>
<arrayData xmlns="http://schemas.microsoft.com/office/spreadsheetml/2017/richdata2" count="10">
  <a r="1">
    <v t="r">5</v>
  </a>
  <a r="1">
    <v t="r">15</v>
  </a>
  <a r="1">
    <v t="r">24</v>
  </a>
  <a r="1">
    <v t="r">33</v>
  </a>
  <a r="4">
    <v t="r">43</v>
    <v t="r">44</v>
    <v t="r">45</v>
    <v t="r">46</v>
  </a>
  <a r="1">
    <v t="r">55</v>
  </a>
  <a r="1">
    <v t="r">64</v>
  </a>
  <a r="1">
    <v t="r">73</v>
  </a>
  <a r="1">
    <v t="r">82</v>
  </a>
  <a r="1">
    <v t="r">91</v>
  </a>
</arrayData>
</file>

<file path=xl/richData/rdrichvalue.xml><?xml version="1.0" encoding="utf-8"?>
<rvData xmlns="http://schemas.microsoft.com/office/spreadsheetml/2017/richdata" count="95">
  <rv s="0">
    <v>536870912</v>
    <v>São Paulo</v>
    <v>4d56ae2d-1aad-8c4f-dca2-4456acc12f89</v>
    <v>pt-BR</v>
    <v>Map</v>
  </rv>
  <rv s="1">
    <fb>248209.4</fb>
    <v>10</v>
  </rv>
  <rv s="0">
    <v>536870912</v>
    <v>São Paulo</v>
    <v>c6cf2f6e-626c-4267-ae48-9e13ea74d2b9</v>
    <v>pt-BR</v>
    <v>Map</v>
  </rv>
  <rv s="2">
    <v>0</v>
    <v>8</v>
    <v>0</v>
    <v>7</v>
    <v>0</v>
    <v>Image of São Paulo</v>
  </rv>
  <rv s="3">
    <v>https://www.bing.com/search?q=S%c3%a3o+Paulo+estado&amp;form=skydnc</v>
    <v>Aprenda mais com Bing</v>
  </rv>
  <rv s="0">
    <v>805306368</v>
    <v>Tarcísio de Freitas (Governador)</v>
    <v>a0d931ae-b6e5-eae6-15ae-9ea3265ba02e</v>
    <v>pt-BR</v>
    <v>Generic</v>
  </rv>
  <rv s="4">
    <v>0</v>
  </rv>
  <rv s="0">
    <v>536870912</v>
    <v>Brasil</v>
    <v>a828cf41-b938-49fe-7986-4b336618d413</v>
    <v>pt-BR</v>
    <v>Map</v>
  </rv>
  <rv s="1">
    <fb>45595497</fb>
    <v>10</v>
  </rv>
  <rv s="5">
    <v>#VALUE!</v>
    <v>pt-BR</v>
    <v>4d56ae2d-1aad-8c4f-dca2-4456acc12f89</v>
    <v>536870912</v>
    <v>1</v>
    <v>2</v>
    <v>3</v>
    <v>4</v>
    <v>São Paulo</v>
    <v>6</v>
    <v>7</v>
    <v>Map</v>
    <v>8</v>
    <v>9</v>
    <v>BR-SP</v>
    <v>1</v>
    <v>2</v>
    <v>São Paulo is one of the 26 states of the Federative Republic of Brazil and is named after Saint Paul of Tarsus. It is located in the Southeast Region and is limited by the states of Minas Gerais to the north and northeast, Paraná to the south, ...</v>
    <v>3</v>
    <v>4</v>
    <v>6</v>
    <v>2</v>
    <v>São Paulo</v>
    <v>7</v>
    <v>8</v>
    <v>São Paulo</v>
    <v>mdp/vdpid/29821</v>
  </rv>
  <rv s="0">
    <v>536870912</v>
    <v>Minas Gerais</v>
    <v>974e2066-dee0-aecd-c973-50babb750033</v>
    <v>pt-BR</v>
    <v>Map</v>
  </rv>
  <rv s="1">
    <fb>586514</fb>
    <v>10</v>
  </rv>
  <rv s="0">
    <v>536870912</v>
    <v>Belo Horizonte</v>
    <v>7d1c2d93-f138-98ba-29b3-c39c6ce5b7d8</v>
    <v>pt-BR</v>
    <v>Map</v>
  </rv>
  <rv s="2">
    <v>1</v>
    <v>8</v>
    <v>11</v>
    <v>7</v>
    <v>0</v>
    <v>Image of Minas Gerais</v>
  </rv>
  <rv s="3">
    <v>https://www.bing.com/search?q=Minas+Gerais&amp;form=skydnc</v>
    <v>Aprenda mais com Bing</v>
  </rv>
  <rv s="0">
    <v>805306368</v>
    <v>Romeu Zema (Governador)</v>
    <v>0b49577b-e092-186e-762c-adfe99963c80</v>
    <v>pt-BR</v>
    <v>Generic</v>
  </rv>
  <rv s="4">
    <v>1</v>
  </rv>
  <rv s="1">
    <fb>21119536</fb>
    <v>10</v>
  </rv>
  <rv s="5">
    <v>#VALUE!</v>
    <v>pt-BR</v>
    <v>974e2066-dee0-aecd-c973-50babb750033</v>
    <v>536870912</v>
    <v>1</v>
    <v>13</v>
    <v>3</v>
    <v>4</v>
    <v>Minas Gerais</v>
    <v>6</v>
    <v>7</v>
    <v>Map</v>
    <v>8</v>
    <v>14</v>
    <v>BR-MG</v>
    <v>11</v>
    <v>12</v>
    <v>Minas Gerais is one of the 27 federative units of Brazil, being the fourth largest state by area and the second largest in number of inhabitants with a population of 20,539,989 according to the 2022 census. Located in the Southeast Region of the ...</v>
    <v>13</v>
    <v>14</v>
    <v>16</v>
    <v>12</v>
    <v>Minas Gerais</v>
    <v>7</v>
    <v>17</v>
    <v>Minas Gerais</v>
    <v>mdp/vdpid/37692</v>
  </rv>
  <rv s="0">
    <v>536870912</v>
    <v>Goiás</v>
    <v>38750702-647a-b72a-2cec-e4a55e078f36</v>
    <v>pt-BR</v>
    <v>Map</v>
  </rv>
  <rv s="1">
    <fb>340086</fb>
    <v>10</v>
  </rv>
  <rv s="0">
    <v>536870912</v>
    <v>Goiânia</v>
    <v>1829f4c1-96fd-bd18-3015-b31e76f2f860</v>
    <v>pt-BR</v>
    <v>Map</v>
  </rv>
  <rv s="2">
    <v>2</v>
    <v>8</v>
    <v>15</v>
    <v>7</v>
    <v>0</v>
    <v>Image of Goiás</v>
  </rv>
  <rv s="3">
    <v>https://www.bing.com/search?q=Goi%c3%a1s&amp;form=skydnc</v>
    <v>Aprenda mais com Bing</v>
  </rv>
  <rv s="0">
    <v>805306368</v>
    <v>Ronaldo Caiado (Governador)</v>
    <v>9ca0a890-509d-b68d-cec0-182352886568</v>
    <v>pt-BR</v>
    <v>Generic</v>
  </rv>
  <rv s="4">
    <v>2</v>
  </rv>
  <rv s="1">
    <fb>6778772</fb>
    <v>10</v>
  </rv>
  <rv s="5">
    <v>#VALUE!</v>
    <v>pt-BR</v>
    <v>38750702-647a-b72a-2cec-e4a55e078f36</v>
    <v>536870912</v>
    <v>1</v>
    <v>17</v>
    <v>3</v>
    <v>4</v>
    <v>Goiás</v>
    <v>6</v>
    <v>7</v>
    <v>Map</v>
    <v>8</v>
    <v>14</v>
    <v>BR-GO</v>
    <v>20</v>
    <v>21</v>
    <v>Goiás is a Brazilian state located in the Center-West region. Goiás borders the Federal District and the states of Tocantins, Bahia, Minas Gerais, Mato Grosso do Sul and Mato Grosso. The state capital is Goiânia. With 7.2 million inhabitants, ...</v>
    <v>22</v>
    <v>23</v>
    <v>25</v>
    <v>21</v>
    <v>Goiás</v>
    <v>7</v>
    <v>26</v>
    <v>Goiás</v>
    <v>mdp/vdpid/12285</v>
  </rv>
  <rv s="0">
    <v>536870912</v>
    <v>Santa Catarina</v>
    <v>6262969d-76c7-e65f-1be5-668011a93ff0</v>
    <v>pt-BR</v>
    <v>Map</v>
  </rv>
  <rv s="1">
    <fb>95730.7</fb>
    <v>10</v>
  </rv>
  <rv s="0">
    <v>536870912</v>
    <v>Florianópolis</v>
    <v>21bdeb41-fb0e-9537-f2bb-6ca2732f1d96</v>
    <v>pt-BR</v>
    <v>Map</v>
  </rv>
  <rv s="2">
    <v>3</v>
    <v>8</v>
    <v>18</v>
    <v>7</v>
    <v>0</v>
    <v>Image of Santa Catarina</v>
  </rv>
  <rv s="3">
    <v>https://www.bing.com/search?q=Santa+Catarina&amp;form=skydnc</v>
    <v>Aprenda mais com Bing</v>
  </rv>
  <rv s="0">
    <v>805306368</v>
    <v>Jorginho Mello (Governador)</v>
    <v>435e3e8f-9115-80bc-41ec-9f57a3d2e500</v>
    <v>pt-BR</v>
    <v>Generic</v>
  </rv>
  <rv s="4">
    <v>3</v>
  </rv>
  <rv s="0">
    <v>536870912</v>
    <v>Joinville</v>
    <v>5e86234b-4bd7-a488-c6bc-8ed280c1c890</v>
    <v>pt-BR</v>
    <v>Map</v>
  </rv>
  <rv s="1">
    <fb>7001161</fb>
    <v>10</v>
  </rv>
  <rv s="5">
    <v>#VALUE!</v>
    <v>pt-BR</v>
    <v>6262969d-76c7-e65f-1be5-668011a93ff0</v>
    <v>536870912</v>
    <v>1</v>
    <v>20</v>
    <v>3</v>
    <v>4</v>
    <v>Santa Catarina</v>
    <v>6</v>
    <v>7</v>
    <v>Map</v>
    <v>8</v>
    <v>14</v>
    <v>BR-SC</v>
    <v>29</v>
    <v>30</v>
    <v>Santa Catarina is one of the 27 federative units of Brazil. It is located in the centre of the country's Southern region. It is bordered to the north by the state of Paraná, to the south by the state of Rio Grande do Sul, to the east by the ...</v>
    <v>31</v>
    <v>32</v>
    <v>34</v>
    <v>35</v>
    <v>Santa Catarina</v>
    <v>7</v>
    <v>36</v>
    <v>Santa Catarina</v>
    <v>mdp/vdpid/29612</v>
  </rv>
  <rv s="0">
    <v>536870912</v>
    <v>Federal District</v>
    <v>88dfc3b6-8e7a-694d-61b2-96d14f226ec4</v>
    <v>pt-BR</v>
    <v>Map</v>
  </rv>
  <rv s="1">
    <fb>5760.8</fb>
    <v>10</v>
  </rv>
  <rv s="0">
    <v>536870912</v>
    <v>Brasília</v>
    <v>0f4c1a26-f33c-b6de-a63f-578da6617369</v>
    <v>pt-BR</v>
    <v>Map</v>
  </rv>
  <rv s="2">
    <v>4</v>
    <v>8</v>
    <v>21</v>
    <v>7</v>
    <v>0</v>
    <v>Image of Federal District</v>
  </rv>
  <rv s="3">
    <v>https://www.bing.com/search?q=Distrito+Federal+Brasil&amp;form=skydnc</v>
    <v>Aprenda mais com Bing</v>
  </rv>
  <rv s="0">
    <v>805306368</v>
    <v>Ibaneis Rocha (Governador)</v>
    <v>57245eaa-8160-7a5c-b756-608805c52133</v>
    <v>pt-BR</v>
    <v>Generic</v>
  </rv>
  <rv s="0">
    <v>805306368</v>
    <v>Damares Alves (Senado)</v>
    <v>660fd674-bcb2-b6bb-c1d4-a983df83078f</v>
    <v>pt-BR</v>
    <v>Generic</v>
  </rv>
  <rv s="0">
    <v>805306368</v>
    <v>Izalci Lucas (Senado)</v>
    <v>738a22f9-28aa-39b2-1902-9cc1421471ad</v>
    <v>pt-BR</v>
    <v>Generic</v>
  </rv>
  <rv s="0">
    <v>805306368</v>
    <v>Leila Barros (Senado)</v>
    <v>24f9d264-fb70-785c-4b29-417717f7f396</v>
    <v>pt-BR</v>
    <v>Generic</v>
  </rv>
  <rv s="4">
    <v>4</v>
  </rv>
  <rv s="1">
    <fb>3039444</fb>
    <v>10</v>
  </rv>
  <rv s="5">
    <v>#VALUE!</v>
    <v>pt-BR</v>
    <v>88dfc3b6-8e7a-694d-61b2-96d14f226ec4</v>
    <v>536870912</v>
    <v>1</v>
    <v>23</v>
    <v>3</v>
    <v>4</v>
    <v>Federal District</v>
    <v>6</v>
    <v>7</v>
    <v>Map</v>
    <v>8</v>
    <v>14</v>
    <v>BR-DF</v>
    <v>39</v>
    <v>40</v>
    <v>The Federal District is one of 27 federative units of Brazil. Located in the Center-West Region, it is the smallest Brazilian federal unit and the only one that has no municipalities, being divided into 33 administrative regions. The federal ...</v>
    <v>41</v>
    <v>42</v>
    <v>47</v>
    <v>40</v>
    <v>Federal District</v>
    <v>7</v>
    <v>48</v>
    <v>Federal District</v>
    <v>mdp/vdpid/9132</v>
  </rv>
  <rv s="0">
    <v>536870912</v>
    <v>Mato Grosso</v>
    <v>af05c757-4d77-813e-b8eb-97635c07f37a</v>
    <v>pt-BR</v>
    <v>Map</v>
  </rv>
  <rv s="1">
    <fb>903357</fb>
    <v>10</v>
  </rv>
  <rv s="0">
    <v>536870912</v>
    <v>Cuiabá</v>
    <v>40ab2387-3bef-ed49-417a-241a85867199</v>
    <v>pt-BR</v>
    <v>Map</v>
  </rv>
  <rv s="2">
    <v>5</v>
    <v>8</v>
    <v>24</v>
    <v>7</v>
    <v>0</v>
    <v>Image of Mato Grosso</v>
  </rv>
  <rv s="3">
    <v>https://www.bing.com/search?q=Mato+Grosso&amp;form=skydnc</v>
    <v>Aprenda mais com Bing</v>
  </rv>
  <rv s="0">
    <v>805306368</v>
    <v>Mauro Mendes (Governador)</v>
    <v>89fde148-6595-30ce-b8c6-035fd8e99daf</v>
    <v>pt-BR</v>
    <v>Generic</v>
  </rv>
  <rv s="4">
    <v>5</v>
  </rv>
  <rv s="1">
    <fb>3344544</fb>
    <v>10</v>
  </rv>
  <rv s="5">
    <v>#VALUE!</v>
    <v>pt-BR</v>
    <v>af05c757-4d77-813e-b8eb-97635c07f37a</v>
    <v>536870912</v>
    <v>1</v>
    <v>26</v>
    <v>3</v>
    <v>4</v>
    <v>Mato Grosso</v>
    <v>6</v>
    <v>7</v>
    <v>Map</v>
    <v>8</v>
    <v>14</v>
    <v>BR-MT</v>
    <v>51</v>
    <v>52</v>
    <v>Mato Grosso is one of the states of Brazil, the third largest by area, located in the Central-West region. The state has 1.66% of the Brazilian population and is responsible for 1.9% of the Brazilian GDP.</v>
    <v>53</v>
    <v>54</v>
    <v>56</v>
    <v>52</v>
    <v>Mato Grosso</v>
    <v>7</v>
    <v>57</v>
    <v>Mato Grosso</v>
    <v>mdp/vdpid/20600</v>
  </rv>
  <rv s="0">
    <v>536870912</v>
    <v>Rio de Janeiro</v>
    <v>3f5a22fa-26bd-86f9-0345-3a6206e8aab5</v>
    <v>pt-BR</v>
    <v>Map</v>
  </rv>
  <rv s="1">
    <fb>43696.1</fb>
    <v>10</v>
  </rv>
  <rv s="0">
    <v>536870912</v>
    <v>Rio de Janeiro</v>
    <v>bd69fe3d-bddf-02b9-aeb0-0384ff4b73dd</v>
    <v>pt-BR</v>
    <v>Map</v>
  </rv>
  <rv s="2">
    <v>6</v>
    <v>8</v>
    <v>27</v>
    <v>7</v>
    <v>0</v>
    <v>Image of Rio de Janeiro</v>
  </rv>
  <rv s="3">
    <v>https://www.bing.com/search?q=Rio+de+Janeiro+estado&amp;form=skydnc</v>
    <v>Aprenda mais com Bing</v>
  </rv>
  <rv s="0">
    <v>805306368</v>
    <v>Cláudio Castro (Governador)</v>
    <v>4f6be35e-fc81-e7c7-4845-05268a59263a</v>
    <v>pt-BR</v>
    <v>Generic</v>
  </rv>
  <rv s="4">
    <v>6</v>
  </rv>
  <rv s="1">
    <fb>16718956</fb>
    <v>10</v>
  </rv>
  <rv s="5">
    <v>#VALUE!</v>
    <v>pt-BR</v>
    <v>3f5a22fa-26bd-86f9-0345-3a6206e8aab5</v>
    <v>536870912</v>
    <v>1</v>
    <v>29</v>
    <v>3</v>
    <v>4</v>
    <v>Rio de Janeiro</v>
    <v>6</v>
    <v>7</v>
    <v>Map</v>
    <v>8</v>
    <v>14</v>
    <v>BR-RJ</v>
    <v>60</v>
    <v>61</v>
    <v>Rio de Janeiro is one of the 27 federative units of Brazil. It has the second largest economy of Brazil, with the largest being that of the state of São Paulo. The state, which has 8.2% of the Brazilian population, is responsible for 9.2% of the ...</v>
    <v>62</v>
    <v>63</v>
    <v>65</v>
    <v>61</v>
    <v>Rio de Janeiro</v>
    <v>7</v>
    <v>66</v>
    <v>Rio de Janeiro</v>
    <v>mdp/vdpid/27818</v>
  </rv>
  <rv s="0">
    <v>536870912</v>
    <v>Rio Grande do Sul</v>
    <v>9644dbbf-be0c-de9c-a534-3d7ff4801a8b</v>
    <v>pt-BR</v>
    <v>Map</v>
  </rv>
  <rv s="1">
    <fb>281707.09999999998</fb>
    <v>10</v>
  </rv>
  <rv s="0">
    <v>536870912</v>
    <v>Porto Alegre</v>
    <v>59476ac7-9b13-46ab-560e-cdac4510fa7a</v>
    <v>pt-BR</v>
    <v>Map</v>
  </rv>
  <rv s="2">
    <v>7</v>
    <v>8</v>
    <v>30</v>
    <v>7</v>
    <v>0</v>
    <v>Image of Rio Grande do Sul</v>
  </rv>
  <rv s="3">
    <v>https://www.bing.com/search?q=Rio+Grande+do+Sul&amp;form=skydnc</v>
    <v>Aprenda mais com Bing</v>
  </rv>
  <rv s="0">
    <v>805306368</v>
    <v>Eduardo Leite (Governador)</v>
    <v>d1404a79-7938-b7c4-f205-661c23e903bb</v>
    <v>pt-BR</v>
    <v>Generic</v>
  </rv>
  <rv s="4">
    <v>7</v>
  </rv>
  <rv s="1">
    <fb>11322895</fb>
    <v>10</v>
  </rv>
  <rv s="5">
    <v>#VALUE!</v>
    <v>pt-BR</v>
    <v>9644dbbf-be0c-de9c-a534-3d7ff4801a8b</v>
    <v>536870912</v>
    <v>1</v>
    <v>32</v>
    <v>3</v>
    <v>4</v>
    <v>Rio Grande do Sul</v>
    <v>6</v>
    <v>7</v>
    <v>Map</v>
    <v>8</v>
    <v>14</v>
    <v>BR-RS</v>
    <v>69</v>
    <v>70</v>
    <v>Rio Grande do Sul is a state in the southern region of Brazil. It is the fifth-most populous state and the ninth-largest by area. Located in the southernmost part of the country, Rio Grande do Sul is bordered clockwise by Santa Catarina to the ...</v>
    <v>71</v>
    <v>72</v>
    <v>74</v>
    <v>70</v>
    <v>Rio Grande do Sul</v>
    <v>7</v>
    <v>75</v>
    <v>Rio Grande do Sul</v>
    <v>mdp/vdpid/27825</v>
  </rv>
  <rv s="0">
    <v>536870912</v>
    <v>Pará</v>
    <v>7a0db70a-73db-e83d-e548-6fab7a523b35</v>
    <v>pt-BR</v>
    <v>Map</v>
  </rv>
  <rv s="1">
    <fb>1245870.7</fb>
    <v>10</v>
  </rv>
  <rv s="0">
    <v>536870912</v>
    <v>Belém</v>
    <v>19b9814d-03b5-b9a5-2607-ca75413f8674</v>
    <v>pt-BR</v>
    <v>Map</v>
  </rv>
  <rv s="2">
    <v>8</v>
    <v>8</v>
    <v>33</v>
    <v>7</v>
    <v>0</v>
    <v>Image of Pará</v>
  </rv>
  <rv s="3">
    <v>https://www.bing.com/search?q=Par%c3%a1&amp;form=skydnc</v>
    <v>Aprenda mais com Bing</v>
  </rv>
  <rv s="0">
    <v>805306368</v>
    <v>Helder Barbalho (Governador)</v>
    <v>1323c458-fbb7-4141-9278-070cd6dc5c75</v>
    <v>pt-BR</v>
    <v>Generic</v>
  </rv>
  <rv s="4">
    <v>8</v>
  </rv>
  <rv s="1">
    <fb>8366628</fb>
    <v>10</v>
  </rv>
  <rv s="5">
    <v>#VALUE!</v>
    <v>pt-BR</v>
    <v>7a0db70a-73db-e83d-e548-6fab7a523b35</v>
    <v>536870912</v>
    <v>1</v>
    <v>35</v>
    <v>3</v>
    <v>4</v>
    <v>Pará</v>
    <v>6</v>
    <v>7</v>
    <v>Map</v>
    <v>8</v>
    <v>14</v>
    <v>BR-PA</v>
    <v>78</v>
    <v>79</v>
    <v>Pará is a state of Brazil, located in northern Brazil and traversed by the lower Amazon River. It borders the Brazilian states of Amapá, Maranhão, Tocantins, Mato Grosso, Amazonas and Roraima. To the northwest are the borders of Guyana and ...</v>
    <v>80</v>
    <v>81</v>
    <v>83</v>
    <v>79</v>
    <v>Pará</v>
    <v>7</v>
    <v>84</v>
    <v>Pará</v>
    <v>mdp/vdpid/25190</v>
  </rv>
  <rv s="0">
    <v>536870912</v>
    <v>Pernambuco</v>
    <v>5538aab1-15ae-294f-2c10-f5083201cca1</v>
    <v>pt-BR</v>
    <v>Map</v>
  </rv>
  <rv s="1">
    <fb>98937.8</fb>
    <v>10</v>
  </rv>
  <rv s="0">
    <v>536870912</v>
    <v>Recife</v>
    <v>56717c0d-ccb4-6a32-53ba-4a80ef2afa79</v>
    <v>pt-BR</v>
    <v>Map</v>
  </rv>
  <rv s="2">
    <v>9</v>
    <v>8</v>
    <v>36</v>
    <v>7</v>
    <v>0</v>
    <v>Image of Pernambuco</v>
  </rv>
  <rv s="3">
    <v>https://www.bing.com/search?q=Pernambuco&amp;form=skydnc</v>
    <v>Aprenda mais com Bing</v>
  </rv>
  <rv s="0">
    <v>805306368</v>
    <v>Raquel Lyra (Governador)</v>
    <v>296e2801-863f-736a-c819-215a140cdf8e</v>
    <v>pt-BR</v>
    <v>Generic</v>
  </rv>
  <rv s="4">
    <v>9</v>
  </rv>
  <rv s="1">
    <fb>9473266</fb>
    <v>10</v>
  </rv>
  <rv s="5">
    <v>#VALUE!</v>
    <v>pt-BR</v>
    <v>5538aab1-15ae-294f-2c10-f5083201cca1</v>
    <v>536870912</v>
    <v>1</v>
    <v>38</v>
    <v>3</v>
    <v>4</v>
    <v>Pernambuco</v>
    <v>6</v>
    <v>7</v>
    <v>Map</v>
    <v>8</v>
    <v>14</v>
    <v>BR-PE</v>
    <v>87</v>
    <v>88</v>
    <v>Pernambuco is a state of Brazil, located in the Northeast region of the country. With an estimated population of 9 million people as of 2022, it is the seventh-most populous state of Brazil and with around 98,067.877 km², it is the 19th-largest ...</v>
    <v>89</v>
    <v>90</v>
    <v>92</v>
    <v>88</v>
    <v>Pernambuco</v>
    <v>7</v>
    <v>93</v>
    <v>Pernambuco</v>
    <v>mdp/vdpid/25687</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webimage">
    <k n="WebImageIdentifier" t="i"/>
    <k n="_Provider" t="spb"/>
    <k n="Attribution" t="spb"/>
    <k n="CalcOrigin" t="i"/>
    <k n="ComputedImage" t="b"/>
    <k n="Text" t="s"/>
  </s>
  <s t="_hyperlink">
    <k n="Address" t="s"/>
    <k n="Text" t="s"/>
  </s>
  <s t="_array">
    <k n="array" t="a"/>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rvStructures>
</file>

<file path=xl/richData/rdsupportingpropertybag.xml><?xml version="1.0" encoding="utf-8"?>
<supportingPropertyBags xmlns="http://schemas.microsoft.com/office/spreadsheetml/2017/richdata2">
  <spbArrays count="1">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spbArrays>
  <spbData count="39">
    <spb s="0">
      <v xml:space="preserve">Wikipedia	</v>
      <v xml:space="preserve">CC BY-SA 3.0	</v>
      <v xml:space="preserve">https://en.wikipedia.org/wiki/S%C3%A3o_Paulo_(state)	</v>
      <v xml:space="preserve">https://creativecommons.org/licenses/by-sa/3.0	</v>
    </spb>
    <spb s="0">
      <v xml:space="preserve">Wikipedia	</v>
      <v xml:space="preserve">CC-BY-SA	</v>
      <v xml:space="preserve">http://en.wikipedia.org/wiki/São_Paulo_(state)	</v>
      <v xml:space="preserve">http://creativecommons.org/licenses/by-sa/3.0/	</v>
    </spb>
    <spb s="1">
      <v>0</v>
      <v>0</v>
      <v>0</v>
      <v>0</v>
      <v>1</v>
      <v>0</v>
      <v>0</v>
      <v>0</v>
      <v>0</v>
    </spb>
    <spb s="2">
      <v>Name</v>
      <v>Area</v>
      <v>Image</v>
      <v>Description</v>
      <v>Population</v>
      <v>Abbreviation</v>
      <v>UniqueName</v>
      <v>VDPID/VSID</v>
      <v>Country/region</v>
      <v>Largest city</v>
      <v>LearnMoreOnLink</v>
      <v>Capital/Major City</v>
    </spb>
    <spb s="3">
      <v>0</v>
      <v>Name</v>
      <v>LearnMoreOnLink</v>
    </spb>
    <spb s="4">
      <v>0</v>
      <v>0</v>
      <v>0</v>
    </spb>
    <spb s="5">
      <v>5</v>
      <v>5</v>
      <v>5</v>
    </spb>
    <spb s="6">
      <v>1</v>
      <v>2</v>
    </spb>
    <spb s="7">
      <v>https://www.bing.com</v>
      <v>https://www.bing.com/th?id=Ga%5Cbing_yt.png&amp;w=100&amp;h=40&amp;c=0&amp;pid=0.1</v>
      <v>Da plataforma Bing</v>
    </spb>
    <spb s="8">
      <v>km quadrado</v>
      <v>2018</v>
    </spb>
    <spb s="9">
      <v>3</v>
    </spb>
    <spb s="0">
      <v xml:space="preserve">Wikipedia	</v>
      <v xml:space="preserve">CC BY-SA 3.0	</v>
      <v xml:space="preserve">https://en.wikipedia.org/wiki/Minas_Gerais	</v>
      <v xml:space="preserve">https://creativecommons.org/licenses/by-sa/3.0	</v>
    </spb>
    <spb s="0">
      <v xml:space="preserve">Wikipedia	</v>
      <v xml:space="preserve">CC-BY-SA	</v>
      <v xml:space="preserve">http://en.wikipedia.org/wiki/Minas_Gerais	</v>
      <v xml:space="preserve">http://creativecommons.org/licenses/by-sa/3.0/	</v>
    </spb>
    <spb s="1">
      <v>11</v>
      <v>11</v>
      <v>11</v>
      <v>11</v>
      <v>12</v>
      <v>11</v>
      <v>11</v>
      <v>11</v>
      <v>11</v>
    </spb>
    <spb s="8">
      <v>km quadrado</v>
      <v>2017</v>
    </spb>
    <spb s="0">
      <v xml:space="preserve">Wikipedia	</v>
      <v xml:space="preserve">CC BY-SA 3.0	</v>
      <v xml:space="preserve">https://en.wikipedia.org/wiki/Goi%C3%A1s	</v>
      <v xml:space="preserve">https://creativecommons.org/licenses/by-sa/3.0	</v>
    </spb>
    <spb s="0">
      <v xml:space="preserve">Wikipedia	</v>
      <v xml:space="preserve">CC-BY-SA	</v>
      <v xml:space="preserve">http://en.wikipedia.org/wiki/Goiás	</v>
      <v xml:space="preserve">http://creativecommons.org/licenses/by-sa/3.0/	</v>
    </spb>
    <spb s="1">
      <v>15</v>
      <v>15</v>
      <v>15</v>
      <v>15</v>
      <v>16</v>
      <v>15</v>
      <v>15</v>
      <v>15</v>
      <v>15</v>
    </spb>
    <spb s="0">
      <v xml:space="preserve">Wikipedia	</v>
      <v xml:space="preserve">CC BY-SA 3.0	</v>
      <v xml:space="preserve">https://en.wikipedia.org/wiki/Santa_Catarina_(state)	</v>
      <v xml:space="preserve">https://creativecommons.org/licenses/by-sa/3.0	</v>
    </spb>
    <spb s="0">
      <v xml:space="preserve">Wikipedia	</v>
      <v xml:space="preserve">CC-BY-SA	</v>
      <v xml:space="preserve">http://en.wikipedia.org/wiki/Santa_Catarina_(state)	</v>
      <v xml:space="preserve">http://creativecommons.org/licenses/by-sa/3.0/	</v>
    </spb>
    <spb s="1">
      <v>18</v>
      <v>18</v>
      <v>18</v>
      <v>18</v>
      <v>19</v>
      <v>18</v>
      <v>18</v>
      <v>18</v>
      <v>18</v>
    </spb>
    <spb s="0">
      <v xml:space="preserve">Wikipedia	</v>
      <v xml:space="preserve">CC BY-SA 3.0	</v>
      <v xml:space="preserve">https://en.wikipedia.org/wiki/Federal_District_(Brazil)	</v>
      <v xml:space="preserve">https://creativecommons.org/licenses/by-sa/3.0	</v>
    </spb>
    <spb s="0">
      <v xml:space="preserve">Wikipedia	</v>
      <v xml:space="preserve">CC-BY-SA	</v>
      <v xml:space="preserve">http://en.wikipedia.org/wiki/Federal_District_(Brazil)	</v>
      <v xml:space="preserve">http://creativecommons.org/licenses/by-sa/3.0/	</v>
    </spb>
    <spb s="1">
      <v>21</v>
      <v>21</v>
      <v>21</v>
      <v>21</v>
      <v>22</v>
      <v>21</v>
      <v>21</v>
      <v>21</v>
      <v>21</v>
    </spb>
    <spb s="0">
      <v xml:space="preserve">Wikipedia	</v>
      <v xml:space="preserve">CC BY-SA 3.0	</v>
      <v xml:space="preserve">https://en.wikipedia.org/wiki/Mato_Grosso	</v>
      <v xml:space="preserve">https://creativecommons.org/licenses/by-sa/3.0	</v>
    </spb>
    <spb s="0">
      <v xml:space="preserve">Wikipedia	</v>
      <v xml:space="preserve">CC-BY-SA	</v>
      <v xml:space="preserve">http://en.wikipedia.org/wiki/Mato_Grosso	</v>
      <v xml:space="preserve">http://creativecommons.org/licenses/by-sa/3.0/	</v>
    </spb>
    <spb s="1">
      <v>24</v>
      <v>24</v>
      <v>24</v>
      <v>24</v>
      <v>25</v>
      <v>24</v>
      <v>24</v>
      <v>24</v>
      <v>24</v>
    </spb>
    <spb s="0">
      <v xml:space="preserve">Wikipedia	</v>
      <v xml:space="preserve">CC BY-SA 3.0	</v>
      <v xml:space="preserve">https://en.wikipedia.org/wiki/Rio_de_Janeiro_(state)	</v>
      <v xml:space="preserve">https://creativecommons.org/licenses/by-sa/3.0	</v>
    </spb>
    <spb s="0">
      <v xml:space="preserve">Wikipedia	</v>
      <v xml:space="preserve">CC-BY-SA	</v>
      <v xml:space="preserve">http://en.wikipedia.org/wiki/Rio_de_Janeiro_(state)	</v>
      <v xml:space="preserve">http://creativecommons.org/licenses/by-sa/3.0/	</v>
    </spb>
    <spb s="1">
      <v>27</v>
      <v>27</v>
      <v>27</v>
      <v>27</v>
      <v>28</v>
      <v>27</v>
      <v>27</v>
      <v>27</v>
      <v>27</v>
    </spb>
    <spb s="0">
      <v xml:space="preserve">Wikipedia	</v>
      <v xml:space="preserve">CC BY-SA 3.0	</v>
      <v xml:space="preserve">https://en.wikipedia.org/wiki/Rio_Grande_do_Sul	</v>
      <v xml:space="preserve">https://creativecommons.org/licenses/by-sa/3.0	</v>
    </spb>
    <spb s="0">
      <v xml:space="preserve">Wikipedia	</v>
      <v xml:space="preserve">CC-BY-SA	</v>
      <v xml:space="preserve">http://en.wikipedia.org/wiki/Rio_Grande_do_Sul	</v>
      <v xml:space="preserve">http://creativecommons.org/licenses/by-sa/3.0/	</v>
    </spb>
    <spb s="1">
      <v>30</v>
      <v>30</v>
      <v>30</v>
      <v>30</v>
      <v>31</v>
      <v>30</v>
      <v>30</v>
      <v>30</v>
      <v>30</v>
    </spb>
    <spb s="0">
      <v xml:space="preserve">Wikipedia	</v>
      <v xml:space="preserve">CC BY-SA 3.0	</v>
      <v xml:space="preserve">https://en.wikipedia.org/wiki/Par%C3%A1	</v>
      <v xml:space="preserve">https://creativecommons.org/licenses/by-sa/3.0	</v>
    </spb>
    <spb s="0">
      <v xml:space="preserve">Wikipedia	</v>
      <v xml:space="preserve">CC-BY-SA	</v>
      <v xml:space="preserve">http://en.wikipedia.org/wiki/Pará	</v>
      <v xml:space="preserve">http://creativecommons.org/licenses/by-sa/3.0/	</v>
    </spb>
    <spb s="1">
      <v>33</v>
      <v>33</v>
      <v>33</v>
      <v>33</v>
      <v>34</v>
      <v>33</v>
      <v>33</v>
      <v>33</v>
      <v>33</v>
    </spb>
    <spb s="0">
      <v xml:space="preserve">Wikipedia	</v>
      <v xml:space="preserve">CC BY-SA 3.0	</v>
      <v xml:space="preserve">https://en.wikipedia.org/wiki/Pernambuco	</v>
      <v xml:space="preserve">https://creativecommons.org/licenses/by-sa/3.0	</v>
    </spb>
    <spb s="0">
      <v xml:space="preserve">Wikipedia	</v>
      <v xml:space="preserve">CC-BY-SA	</v>
      <v xml:space="preserve">http://en.wikipedia.org/wiki/Pernambuco	</v>
      <v xml:space="preserve">http://creativecommons.org/licenses/by-sa/3.0/	</v>
    </spb>
    <spb s="1">
      <v>36</v>
      <v>36</v>
      <v>36</v>
      <v>36</v>
      <v>37</v>
      <v>36</v>
      <v>36</v>
      <v>36</v>
      <v>36</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Order" t="spba"/>
    <k n="TitleProperty" t="s"/>
    <k n="SubTitleProperty" t="s"/>
  </s>
  <s>
    <k n="ShowInCardView" t="b"/>
    <k n="ShowInDotNotation" t="b"/>
    <k n="ShowInAutoComplete" t="b"/>
  </s>
  <s>
    <k n="UniqueName" t="spb"/>
    <k n="VDPID/VSID" t="spb"/>
    <k n="LearnMoreOnLink" t="spb"/>
  </s>
  <s>
    <k n="Nome" t="i"/>
    <k n="Imagem" t="i"/>
  </s>
  <s>
    <k n="link" t="s"/>
    <k n="logo" t="s"/>
    <k n="name" t="s"/>
  </s>
  <s>
    <k n="`Área" t="s"/>
    <k n="População"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
    <x:dxf>
      <x:numFmt numFmtId="3" formatCode="#,##0"/>
    </x:dxf>
  </dxfs>
  <richProperties>
    <rPr n="IsTitleField" t="b"/>
    <rPr n="IsHeroField" t="b"/>
    <rPr n="NumberFormat" t="s"/>
  </richProperties>
  <richStyles>
    <rSty>
      <rpv i="0">1</rpv>
    </rSty>
    <rSty>
      <rpv i="1">1</rpv>
    </rSty>
    <rSty dxfid="0">
      <rpv i="2">#,##0</rpv>
    </rSty>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D377-9343-4997-9760-705C385694F2}">
  <dimension ref="A1:O33"/>
  <sheetViews>
    <sheetView showGridLines="0" tabSelected="1" zoomScale="90" zoomScaleNormal="90" workbookViewId="0">
      <selection activeCell="M3" sqref="M3"/>
    </sheetView>
  </sheetViews>
  <sheetFormatPr defaultColWidth="9.140625" defaultRowHeight="15"/>
  <cols>
    <col min="1" max="1" width="1.7109375" customWidth="1"/>
    <col min="2" max="14" width="9.140625" style="1"/>
    <col min="15" max="15" width="16.140625" style="1" customWidth="1"/>
    <col min="16" max="16384" width="9.140625" style="1"/>
  </cols>
  <sheetData>
    <row r="1" spans="1:15" ht="15.75">
      <c r="A1" s="4"/>
      <c r="B1" s="10"/>
    </row>
    <row r="2" spans="1:15" ht="15.75">
      <c r="A2" s="4"/>
      <c r="B2" s="10"/>
    </row>
    <row r="3" spans="1:15" ht="15.75">
      <c r="A3" s="4"/>
      <c r="B3" s="10"/>
    </row>
    <row r="4" spans="1:15" ht="15.75">
      <c r="A4" s="4"/>
      <c r="B4" s="10"/>
    </row>
    <row r="5" spans="1:15" ht="20.25">
      <c r="A5" s="4"/>
      <c r="B5" s="11" t="s">
        <v>19</v>
      </c>
    </row>
    <row r="6" spans="1:15" ht="15.75">
      <c r="A6" s="4"/>
      <c r="B6" s="10"/>
    </row>
    <row r="7" spans="1:15" ht="18">
      <c r="A7" s="4"/>
      <c r="B7" s="7" t="s">
        <v>18</v>
      </c>
    </row>
    <row r="8" spans="1:15" ht="6.95" customHeight="1">
      <c r="A8" s="4"/>
      <c r="B8" s="7"/>
    </row>
    <row r="9" spans="1:15" s="8" customFormat="1" ht="40.5" customHeight="1">
      <c r="A9" s="9"/>
      <c r="B9" s="81" t="s">
        <v>153</v>
      </c>
      <c r="C9" s="81"/>
      <c r="D9" s="81"/>
      <c r="E9" s="81"/>
      <c r="F9" s="81"/>
      <c r="G9" s="81"/>
      <c r="H9" s="81"/>
      <c r="I9" s="81"/>
      <c r="J9" s="81"/>
      <c r="K9" s="81"/>
      <c r="L9" s="81"/>
      <c r="M9" s="81"/>
      <c r="N9" s="81"/>
      <c r="O9" s="81"/>
    </row>
    <row r="10" spans="1:15" ht="12" customHeight="1">
      <c r="A10" s="4"/>
      <c r="B10" s="7"/>
    </row>
    <row r="11" spans="1:15" ht="21.75" customHeight="1">
      <c r="B11" s="7" t="s">
        <v>17</v>
      </c>
    </row>
    <row r="12" spans="1:15" ht="6.95" customHeight="1">
      <c r="A12" s="4"/>
      <c r="B12" s="7"/>
    </row>
    <row r="13" spans="1:15" ht="83.25" customHeight="1">
      <c r="B13" s="81" t="s">
        <v>16</v>
      </c>
      <c r="C13" s="81"/>
      <c r="D13" s="81"/>
      <c r="E13" s="81"/>
      <c r="F13" s="81"/>
      <c r="G13" s="81"/>
      <c r="H13" s="81"/>
      <c r="I13" s="81"/>
      <c r="J13" s="81"/>
      <c r="K13" s="81"/>
      <c r="L13" s="81"/>
      <c r="M13" s="81"/>
      <c r="N13" s="81"/>
      <c r="O13" s="81"/>
    </row>
    <row r="14" spans="1:15" ht="12" customHeight="1">
      <c r="A14" s="4"/>
      <c r="B14" s="7"/>
    </row>
    <row r="15" spans="1:15" ht="18">
      <c r="B15" s="7" t="s">
        <v>15</v>
      </c>
    </row>
    <row r="16" spans="1:15" ht="12" customHeight="1">
      <c r="A16" s="4"/>
      <c r="B16" s="7"/>
    </row>
    <row r="17" spans="1:15" ht="15.75">
      <c r="B17" s="3" t="s">
        <v>14</v>
      </c>
      <c r="E17" s="2" t="s">
        <v>13</v>
      </c>
    </row>
    <row r="18" spans="1:15" ht="12" customHeight="1">
      <c r="A18" s="4"/>
      <c r="B18" s="7"/>
    </row>
    <row r="19" spans="1:15" ht="15.75">
      <c r="B19" s="3" t="s">
        <v>12</v>
      </c>
      <c r="E19" s="2" t="s">
        <v>154</v>
      </c>
    </row>
    <row r="20" spans="1:15" ht="12" customHeight="1">
      <c r="A20" s="4"/>
      <c r="B20" s="7"/>
    </row>
    <row r="21" spans="1:15" ht="15.75">
      <c r="B21" s="3" t="s">
        <v>11</v>
      </c>
      <c r="E21" s="2" t="s">
        <v>155</v>
      </c>
    </row>
    <row r="22" spans="1:15" ht="12" customHeight="1">
      <c r="A22" s="4"/>
      <c r="B22" s="7"/>
    </row>
    <row r="23" spans="1:15" ht="28.5" customHeight="1">
      <c r="B23" s="6" t="s">
        <v>10</v>
      </c>
      <c r="C23" s="5"/>
      <c r="E23" s="81" t="s">
        <v>156</v>
      </c>
      <c r="F23" s="81"/>
      <c r="G23" s="81"/>
      <c r="H23" s="81"/>
      <c r="I23" s="81"/>
      <c r="J23" s="81"/>
      <c r="K23" s="81"/>
      <c r="L23" s="81"/>
      <c r="M23" s="81"/>
      <c r="N23" s="81"/>
      <c r="O23" s="81"/>
    </row>
    <row r="24" spans="1:15" ht="12" customHeight="1">
      <c r="A24" s="4"/>
      <c r="B24" s="7"/>
    </row>
    <row r="25" spans="1:15" ht="15.75">
      <c r="B25" s="3" t="s">
        <v>9</v>
      </c>
      <c r="E25" s="2" t="s">
        <v>8</v>
      </c>
    </row>
    <row r="26" spans="1:15" ht="12" customHeight="1">
      <c r="A26" s="4"/>
      <c r="B26" s="7"/>
    </row>
    <row r="27" spans="1:15" ht="15.75">
      <c r="B27" s="3" t="s">
        <v>7</v>
      </c>
      <c r="E27" s="2" t="s">
        <v>6</v>
      </c>
    </row>
    <row r="28" spans="1:15" ht="12" customHeight="1">
      <c r="A28" s="4"/>
      <c r="B28" s="7"/>
    </row>
    <row r="29" spans="1:15" ht="15.75">
      <c r="B29" s="3" t="s">
        <v>5</v>
      </c>
      <c r="E29" s="2" t="s">
        <v>4</v>
      </c>
    </row>
    <row r="30" spans="1:15" ht="12" customHeight="1">
      <c r="A30" s="4"/>
      <c r="B30" s="7"/>
    </row>
    <row r="31" spans="1:15" ht="15.75">
      <c r="A31" s="4"/>
      <c r="B31" s="3" t="s">
        <v>3</v>
      </c>
      <c r="E31" s="2" t="s">
        <v>2</v>
      </c>
    </row>
    <row r="32" spans="1:15" ht="12" customHeight="1">
      <c r="A32" s="4"/>
      <c r="B32" s="7"/>
    </row>
    <row r="33" spans="1:5" ht="15.75">
      <c r="A33" s="4"/>
      <c r="B33" s="3" t="s">
        <v>1</v>
      </c>
      <c r="E33" s="2" t="s">
        <v>0</v>
      </c>
    </row>
  </sheetData>
  <mergeCells count="3">
    <mergeCell ref="B9:O9"/>
    <mergeCell ref="B13:O13"/>
    <mergeCell ref="E23:O2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90B82-00D2-49A5-82DE-9EBDDCF2B814}">
  <dimension ref="A1:T164"/>
  <sheetViews>
    <sheetView showGridLines="0" zoomScale="90" zoomScaleNormal="90" workbookViewId="0">
      <selection activeCell="L45" sqref="L45"/>
    </sheetView>
  </sheetViews>
  <sheetFormatPr defaultRowHeight="15"/>
  <cols>
    <col min="1" max="1" width="1.7109375" customWidth="1"/>
    <col min="2" max="2" width="8.7109375" customWidth="1"/>
    <col min="3" max="3" width="10.7109375" customWidth="1"/>
    <col min="4" max="4" width="11.28515625" customWidth="1"/>
    <col min="5" max="6" width="17.7109375" customWidth="1"/>
    <col min="7" max="10" width="10.7109375" customWidth="1"/>
    <col min="11" max="11" width="16.7109375" customWidth="1"/>
    <col min="12" max="16" width="11.28515625" customWidth="1"/>
    <col min="17" max="17" width="13.5703125" customWidth="1"/>
    <col min="18" max="18" width="85.28515625" customWidth="1"/>
    <col min="19" max="19" width="30.7109375" customWidth="1"/>
  </cols>
  <sheetData>
    <row r="1" spans="1:19" s="1" customFormat="1" ht="15.75">
      <c r="A1" s="4"/>
      <c r="B1" s="10"/>
    </row>
    <row r="2" spans="1:19" s="1" customFormat="1" ht="15.75">
      <c r="A2" s="4"/>
      <c r="B2" s="10"/>
    </row>
    <row r="3" spans="1:19" s="1" customFormat="1" ht="15.75">
      <c r="A3" s="4"/>
      <c r="B3" s="10"/>
    </row>
    <row r="4" spans="1:19" s="1" customFormat="1" ht="15.75">
      <c r="A4" s="4"/>
      <c r="B4" s="10"/>
    </row>
    <row r="5" spans="1:19" s="1" customFormat="1" ht="20.25">
      <c r="A5" s="4"/>
      <c r="B5" s="11" t="s">
        <v>19</v>
      </c>
    </row>
    <row r="6" spans="1:19" s="1" customFormat="1" ht="15.75">
      <c r="A6" s="4"/>
      <c r="B6" s="10"/>
    </row>
    <row r="7" spans="1:19" s="1" customFormat="1" ht="18">
      <c r="A7" s="4"/>
      <c r="B7" s="7" t="s">
        <v>157</v>
      </c>
    </row>
    <row r="8" spans="1:19" s="1" customFormat="1" ht="6.95" customHeight="1">
      <c r="A8" s="4"/>
      <c r="B8" s="7"/>
    </row>
    <row r="9" spans="1:19" ht="24.95" customHeight="1">
      <c r="A9" s="4"/>
      <c r="B9" s="23"/>
      <c r="C9" s="23" t="s">
        <v>132</v>
      </c>
      <c r="D9" s="23" t="s">
        <v>131</v>
      </c>
      <c r="E9" s="23" t="s">
        <v>84</v>
      </c>
      <c r="F9" s="23" t="s">
        <v>130</v>
      </c>
      <c r="G9" s="23" t="s">
        <v>129</v>
      </c>
      <c r="H9" s="23" t="s">
        <v>128</v>
      </c>
      <c r="I9" s="23" t="s">
        <v>127</v>
      </c>
      <c r="J9" s="23" t="s">
        <v>126</v>
      </c>
      <c r="K9" s="24" t="s">
        <v>125</v>
      </c>
      <c r="L9" s="23" t="s">
        <v>124</v>
      </c>
      <c r="M9" s="23" t="s">
        <v>123</v>
      </c>
      <c r="N9" s="23" t="s">
        <v>51</v>
      </c>
      <c r="O9" s="23" t="s">
        <v>47</v>
      </c>
      <c r="P9" s="23" t="s">
        <v>122</v>
      </c>
      <c r="Q9" s="23" t="s">
        <v>52</v>
      </c>
      <c r="R9" s="23" t="s">
        <v>159</v>
      </c>
      <c r="S9" s="23" t="s">
        <v>160</v>
      </c>
    </row>
    <row r="10" spans="1:19" ht="39.950000000000003" customHeight="1">
      <c r="A10" s="4"/>
      <c r="B10" s="25">
        <v>1</v>
      </c>
      <c r="C10" s="25" t="s">
        <v>93</v>
      </c>
      <c r="D10" s="53" t="s">
        <v>78</v>
      </c>
      <c r="E10" s="53" t="s">
        <v>96</v>
      </c>
      <c r="F10" s="53" t="s">
        <v>39</v>
      </c>
      <c r="G10" s="53" t="s">
        <v>91</v>
      </c>
      <c r="H10" s="53" t="s">
        <v>86</v>
      </c>
      <c r="I10" s="54">
        <v>9.8500000000000004E-2</v>
      </c>
      <c r="J10" s="54">
        <v>0.12065453648233447</v>
      </c>
      <c r="K10" s="52">
        <v>7401379.5648999996</v>
      </c>
      <c r="L10" s="54">
        <v>7.0965949428814831E-2</v>
      </c>
      <c r="M10" s="55">
        <v>8.5494496294232475E-2</v>
      </c>
      <c r="N10" s="56">
        <v>3.3224897693847146</v>
      </c>
      <c r="O10" s="59">
        <v>0.43</v>
      </c>
      <c r="P10" s="59" t="s">
        <v>34</v>
      </c>
      <c r="Q10" s="62">
        <v>48745</v>
      </c>
      <c r="R10" s="59" t="s">
        <v>161</v>
      </c>
      <c r="S10" s="59" t="s">
        <v>162</v>
      </c>
    </row>
    <row r="11" spans="1:19" ht="39.950000000000003" customHeight="1">
      <c r="B11" s="25">
        <v>2</v>
      </c>
      <c r="C11" s="25" t="s">
        <v>93</v>
      </c>
      <c r="D11" s="53" t="s">
        <v>77</v>
      </c>
      <c r="E11" s="53" t="s">
        <v>121</v>
      </c>
      <c r="F11" s="53" t="s">
        <v>44</v>
      </c>
      <c r="G11" s="53" t="s">
        <v>112</v>
      </c>
      <c r="H11" s="53" t="s">
        <v>86</v>
      </c>
      <c r="I11" s="54">
        <v>8.2500000000000004E-2</v>
      </c>
      <c r="J11" s="54">
        <v>0.10179248557253637</v>
      </c>
      <c r="K11" s="52">
        <v>6992245.6788999997</v>
      </c>
      <c r="L11" s="54">
        <v>6.7043089587768057E-2</v>
      </c>
      <c r="M11" s="55">
        <v>8.0768526602534266E-2</v>
      </c>
      <c r="N11" s="56">
        <v>3.0556344451577631</v>
      </c>
      <c r="O11" s="59">
        <v>0.56999999999999995</v>
      </c>
      <c r="P11" s="59" t="s">
        <v>37</v>
      </c>
      <c r="Q11" s="62">
        <v>48466</v>
      </c>
      <c r="R11" s="59" t="s">
        <v>163</v>
      </c>
      <c r="S11" s="59" t="s">
        <v>164</v>
      </c>
    </row>
    <row r="12" spans="1:19" ht="39.950000000000003" customHeight="1">
      <c r="A12" s="4"/>
      <c r="B12" s="25">
        <v>3</v>
      </c>
      <c r="C12" s="25" t="s">
        <v>93</v>
      </c>
      <c r="D12" s="53" t="s">
        <v>76</v>
      </c>
      <c r="E12" s="53" t="s">
        <v>120</v>
      </c>
      <c r="F12" s="53" t="s">
        <v>36</v>
      </c>
      <c r="G12" s="53" t="s">
        <v>94</v>
      </c>
      <c r="H12" s="53" t="s">
        <v>86</v>
      </c>
      <c r="I12" s="54">
        <v>9.5399999999999999E-2</v>
      </c>
      <c r="J12" s="54">
        <v>9.8681557753971347E-2</v>
      </c>
      <c r="K12" s="52">
        <v>6563223.7744000005</v>
      </c>
      <c r="L12" s="54">
        <v>6.2929539335192658E-2</v>
      </c>
      <c r="M12" s="55">
        <v>7.581282728961633E-2</v>
      </c>
      <c r="N12" s="56">
        <v>3.2103928552842746</v>
      </c>
      <c r="O12" s="59" t="s">
        <v>42</v>
      </c>
      <c r="P12" s="59" t="s">
        <v>28</v>
      </c>
      <c r="Q12" s="62">
        <v>48788</v>
      </c>
      <c r="R12" s="59" t="s">
        <v>166</v>
      </c>
      <c r="S12" s="59" t="s">
        <v>167</v>
      </c>
    </row>
    <row r="13" spans="1:19" ht="39.950000000000003" customHeight="1">
      <c r="B13" s="25">
        <v>4</v>
      </c>
      <c r="C13" s="25" t="s">
        <v>93</v>
      </c>
      <c r="D13" s="53" t="s">
        <v>75</v>
      </c>
      <c r="E13" s="53" t="s">
        <v>92</v>
      </c>
      <c r="F13" s="53" t="s">
        <v>44</v>
      </c>
      <c r="G13" s="53" t="s">
        <v>91</v>
      </c>
      <c r="H13" s="53" t="s">
        <v>86</v>
      </c>
      <c r="I13" s="54">
        <v>7.4999999999999997E-2</v>
      </c>
      <c r="J13" s="54">
        <v>9.4798079896201523E-2</v>
      </c>
      <c r="K13" s="52">
        <v>4761393.9676000001</v>
      </c>
      <c r="L13" s="54">
        <v>4.5653224585021121E-2</v>
      </c>
      <c r="M13" s="55">
        <v>5.4999608566063188E-2</v>
      </c>
      <c r="N13" s="56">
        <v>3.2476955646464827</v>
      </c>
      <c r="O13" s="59">
        <v>0.27</v>
      </c>
      <c r="P13" s="59" t="s">
        <v>46</v>
      </c>
      <c r="Q13" s="62">
        <v>48197</v>
      </c>
      <c r="R13" s="59" t="s">
        <v>168</v>
      </c>
      <c r="S13" s="59" t="s">
        <v>164</v>
      </c>
    </row>
    <row r="14" spans="1:19" ht="39.950000000000003" customHeight="1">
      <c r="A14" s="4"/>
      <c r="B14" s="25">
        <v>5</v>
      </c>
      <c r="C14" s="25" t="s">
        <v>93</v>
      </c>
      <c r="D14" s="53" t="s">
        <v>74</v>
      </c>
      <c r="E14" s="53" t="s">
        <v>95</v>
      </c>
      <c r="F14" s="53" t="s">
        <v>36</v>
      </c>
      <c r="G14" s="53" t="s">
        <v>94</v>
      </c>
      <c r="H14" s="53" t="s">
        <v>86</v>
      </c>
      <c r="I14" s="54">
        <v>0.1085</v>
      </c>
      <c r="J14" s="54">
        <v>0.12183880058843592</v>
      </c>
      <c r="K14" s="52">
        <v>1204798.1247</v>
      </c>
      <c r="L14" s="54">
        <v>1.1551852197239169E-2</v>
      </c>
      <c r="M14" s="55">
        <v>1.3916812116479271E-2</v>
      </c>
      <c r="N14" s="56">
        <v>2.6420941635329438</v>
      </c>
      <c r="O14" s="59" t="s">
        <v>42</v>
      </c>
      <c r="P14" s="59" t="s">
        <v>37</v>
      </c>
      <c r="Q14" s="62">
        <v>48606</v>
      </c>
      <c r="R14" s="59" t="s">
        <v>169</v>
      </c>
      <c r="S14" s="59" t="s">
        <v>162</v>
      </c>
    </row>
    <row r="15" spans="1:19" ht="39.950000000000003" customHeight="1">
      <c r="B15" s="25">
        <v>6</v>
      </c>
      <c r="C15" s="25" t="s">
        <v>93</v>
      </c>
      <c r="D15" s="53" t="s">
        <v>73</v>
      </c>
      <c r="E15" s="53" t="s">
        <v>119</v>
      </c>
      <c r="F15" s="53" t="s">
        <v>27</v>
      </c>
      <c r="G15" s="53" t="s">
        <v>100</v>
      </c>
      <c r="H15" s="53" t="s">
        <v>86</v>
      </c>
      <c r="I15" s="54">
        <v>7.6799999999999993E-2</v>
      </c>
      <c r="J15" s="54">
        <v>5.1847886947128205E-2</v>
      </c>
      <c r="K15" s="52">
        <v>4086902.2881999998</v>
      </c>
      <c r="L15" s="54">
        <v>3.9186059647628328E-2</v>
      </c>
      <c r="M15" s="55">
        <v>4.7208449380223887E-2</v>
      </c>
      <c r="N15" s="56">
        <v>3.3421649503760129</v>
      </c>
      <c r="O15" s="59">
        <v>0.5</v>
      </c>
      <c r="P15" s="59" t="s">
        <v>37</v>
      </c>
      <c r="Q15" s="62">
        <v>48075</v>
      </c>
      <c r="R15" s="59" t="s">
        <v>170</v>
      </c>
      <c r="S15" s="59" t="s">
        <v>171</v>
      </c>
    </row>
    <row r="16" spans="1:19" ht="39.950000000000003" customHeight="1">
      <c r="A16" s="4"/>
      <c r="B16" s="25">
        <v>7</v>
      </c>
      <c r="C16" s="25" t="s">
        <v>93</v>
      </c>
      <c r="D16" s="53" t="s">
        <v>72</v>
      </c>
      <c r="E16" s="53" t="s">
        <v>118</v>
      </c>
      <c r="F16" s="53" t="s">
        <v>44</v>
      </c>
      <c r="G16" s="53" t="s">
        <v>100</v>
      </c>
      <c r="H16" s="53" t="s">
        <v>86</v>
      </c>
      <c r="I16" s="54">
        <v>8.6999999999999994E-2</v>
      </c>
      <c r="J16" s="54">
        <v>0.11093397492035574</v>
      </c>
      <c r="K16" s="52">
        <v>4126603.7209999999</v>
      </c>
      <c r="L16" s="54">
        <v>3.9566725150272951E-2</v>
      </c>
      <c r="M16" s="55">
        <v>4.7667046857847124E-2</v>
      </c>
      <c r="N16" s="56">
        <v>6.1755441765245216</v>
      </c>
      <c r="O16" s="59">
        <v>0.38</v>
      </c>
      <c r="P16" s="59" t="s">
        <v>46</v>
      </c>
      <c r="Q16" s="62">
        <v>50789</v>
      </c>
      <c r="R16" s="59" t="s">
        <v>172</v>
      </c>
      <c r="S16" s="59" t="s">
        <v>173</v>
      </c>
    </row>
    <row r="17" spans="1:19" ht="39.950000000000003" customHeight="1">
      <c r="B17" s="25">
        <v>8</v>
      </c>
      <c r="C17" s="25" t="s">
        <v>93</v>
      </c>
      <c r="D17" s="53" t="s">
        <v>199</v>
      </c>
      <c r="E17" s="53" t="s">
        <v>200</v>
      </c>
      <c r="F17" s="53" t="s">
        <v>33</v>
      </c>
      <c r="G17" s="53" t="s">
        <v>91</v>
      </c>
      <c r="H17" s="53" t="s">
        <v>86</v>
      </c>
      <c r="I17" s="54">
        <v>0.105</v>
      </c>
      <c r="J17" s="54">
        <v>0.14670583757268343</v>
      </c>
      <c r="K17" s="52">
        <v>4070638.7655000002</v>
      </c>
      <c r="L17" s="54">
        <v>3.9030121647240408E-2</v>
      </c>
      <c r="M17" s="55">
        <v>4.702058687850863E-2</v>
      </c>
      <c r="N17" s="56">
        <v>1.821743599086461</v>
      </c>
      <c r="O17" s="59">
        <v>0.47</v>
      </c>
      <c r="P17" s="59" t="s">
        <v>37</v>
      </c>
      <c r="Q17" s="62">
        <v>46384</v>
      </c>
      <c r="R17" s="59" t="s">
        <v>202</v>
      </c>
      <c r="S17" s="59" t="s">
        <v>162</v>
      </c>
    </row>
    <row r="18" spans="1:19" ht="39.950000000000003" customHeight="1">
      <c r="B18" s="25">
        <v>10</v>
      </c>
      <c r="C18" s="25" t="s">
        <v>93</v>
      </c>
      <c r="D18" s="53" t="s">
        <v>68</v>
      </c>
      <c r="E18" s="53" t="s">
        <v>114</v>
      </c>
      <c r="F18" s="53" t="s">
        <v>33</v>
      </c>
      <c r="G18" s="53" t="s">
        <v>107</v>
      </c>
      <c r="H18" s="53" t="s">
        <v>86</v>
      </c>
      <c r="I18" s="54">
        <v>0.10340000000000001</v>
      </c>
      <c r="J18" s="54">
        <v>0.12896001474160115</v>
      </c>
      <c r="K18" s="52">
        <v>3069787.8623000002</v>
      </c>
      <c r="L18" s="54">
        <v>2.9433757353331303E-2</v>
      </c>
      <c r="M18" s="55">
        <v>3.5459601107625825E-2</v>
      </c>
      <c r="N18" s="56">
        <v>2.545934696460975</v>
      </c>
      <c r="O18" s="59">
        <v>0.71</v>
      </c>
      <c r="P18" s="59" t="s">
        <v>46</v>
      </c>
      <c r="Q18" s="62">
        <v>46619</v>
      </c>
      <c r="R18" s="59" t="s">
        <v>177</v>
      </c>
      <c r="S18" s="59" t="s">
        <v>162</v>
      </c>
    </row>
    <row r="19" spans="1:19" ht="39.950000000000003" customHeight="1">
      <c r="A19" s="4"/>
      <c r="B19" s="25">
        <v>11</v>
      </c>
      <c r="C19" s="25" t="s">
        <v>93</v>
      </c>
      <c r="D19" s="53" t="s">
        <v>69</v>
      </c>
      <c r="E19" s="53" t="s">
        <v>115</v>
      </c>
      <c r="F19" s="53" t="s">
        <v>36</v>
      </c>
      <c r="G19" s="53" t="s">
        <v>100</v>
      </c>
      <c r="H19" s="53" t="s">
        <v>86</v>
      </c>
      <c r="I19" s="54">
        <v>0.11</v>
      </c>
      <c r="J19" s="54">
        <v>0.12139941114093925</v>
      </c>
      <c r="K19" s="52">
        <v>2868087.8905000002</v>
      </c>
      <c r="L19" s="54">
        <v>2.7499816542292034E-2</v>
      </c>
      <c r="M19" s="55">
        <v>3.31297330958054E-2</v>
      </c>
      <c r="N19" s="56">
        <v>3.4610703265032607</v>
      </c>
      <c r="O19" s="59" t="s">
        <v>42</v>
      </c>
      <c r="P19" s="59" t="s">
        <v>26</v>
      </c>
      <c r="Q19" s="62">
        <v>48542</v>
      </c>
      <c r="R19" s="59" t="s">
        <v>176</v>
      </c>
      <c r="S19" s="59" t="s">
        <v>162</v>
      </c>
    </row>
    <row r="20" spans="1:19" ht="39.950000000000003" customHeight="1">
      <c r="B20" s="25">
        <v>12</v>
      </c>
      <c r="C20" s="25" t="s">
        <v>93</v>
      </c>
      <c r="D20" s="53" t="s">
        <v>204</v>
      </c>
      <c r="E20" s="53" t="s">
        <v>205</v>
      </c>
      <c r="F20" s="53" t="s">
        <v>39</v>
      </c>
      <c r="G20" s="53" t="s">
        <v>94</v>
      </c>
      <c r="H20" s="53" t="s">
        <v>208</v>
      </c>
      <c r="I20" s="54">
        <v>0.18779999999999999</v>
      </c>
      <c r="J20" s="54">
        <v>0.16867669830910745</v>
      </c>
      <c r="K20" s="52">
        <v>2553325.4443000001</v>
      </c>
      <c r="L20" s="54">
        <v>2.4481809474386572E-2</v>
      </c>
      <c r="M20" s="55">
        <v>2.9493862707826855E-2</v>
      </c>
      <c r="N20" s="56">
        <v>2.4429928486815999</v>
      </c>
      <c r="O20" s="59">
        <v>0.75</v>
      </c>
      <c r="P20" s="59" t="s">
        <v>29</v>
      </c>
      <c r="Q20" s="62">
        <v>46840</v>
      </c>
      <c r="R20" s="59" t="s">
        <v>214</v>
      </c>
      <c r="S20" s="59" t="s">
        <v>171</v>
      </c>
    </row>
    <row r="21" spans="1:19" ht="39.950000000000003" customHeight="1">
      <c r="A21" s="4"/>
      <c r="B21" s="25">
        <v>13</v>
      </c>
      <c r="C21" s="25" t="s">
        <v>93</v>
      </c>
      <c r="D21" s="53" t="s">
        <v>67</v>
      </c>
      <c r="E21" s="53" t="s">
        <v>113</v>
      </c>
      <c r="F21" s="53" t="s">
        <v>44</v>
      </c>
      <c r="G21" s="53" t="s">
        <v>112</v>
      </c>
      <c r="H21" s="53" t="s">
        <v>86</v>
      </c>
      <c r="I21" s="54">
        <v>5.7000000000000002E-2</v>
      </c>
      <c r="J21" s="54">
        <v>7.6980089514086289E-2</v>
      </c>
      <c r="K21" s="52">
        <v>2495907.0622999999</v>
      </c>
      <c r="L21" s="54">
        <v>2.3931270219161731E-2</v>
      </c>
      <c r="M21" s="55">
        <v>2.8830613971010291E-2</v>
      </c>
      <c r="N21" s="56">
        <v>7.0789974038874597</v>
      </c>
      <c r="O21" s="59">
        <v>0.60499999999999998</v>
      </c>
      <c r="P21" s="59" t="s">
        <v>23</v>
      </c>
      <c r="Q21" s="62">
        <v>51702</v>
      </c>
      <c r="R21" s="59" t="s">
        <v>179</v>
      </c>
      <c r="S21" s="59" t="s">
        <v>165</v>
      </c>
    </row>
    <row r="22" spans="1:19" ht="39.950000000000003" customHeight="1">
      <c r="B22" s="25">
        <v>14</v>
      </c>
      <c r="C22" s="25" t="s">
        <v>93</v>
      </c>
      <c r="D22" s="53" t="s">
        <v>66</v>
      </c>
      <c r="E22" s="53" t="s">
        <v>111</v>
      </c>
      <c r="F22" s="53" t="s">
        <v>44</v>
      </c>
      <c r="G22" s="53" t="s">
        <v>99</v>
      </c>
      <c r="H22" s="53" t="s">
        <v>86</v>
      </c>
      <c r="I22" s="54">
        <v>5.9700000000000003E-2</v>
      </c>
      <c r="J22" s="54">
        <v>8.0450860760108947E-2</v>
      </c>
      <c r="K22" s="52">
        <v>2444039.466</v>
      </c>
      <c r="L22" s="54">
        <v>2.3433953038797709E-2</v>
      </c>
      <c r="M22" s="55">
        <v>2.8231483230480435E-2</v>
      </c>
      <c r="N22" s="56">
        <v>5.3549789656149995</v>
      </c>
      <c r="O22" s="59">
        <v>0.76986912663199547</v>
      </c>
      <c r="P22" s="59" t="s">
        <v>22</v>
      </c>
      <c r="Q22" s="62">
        <v>50019</v>
      </c>
      <c r="R22" s="59" t="s">
        <v>180</v>
      </c>
      <c r="S22" s="59" t="s">
        <v>178</v>
      </c>
    </row>
    <row r="23" spans="1:19" ht="39.950000000000003" customHeight="1">
      <c r="A23" s="4"/>
      <c r="B23" s="25">
        <v>15</v>
      </c>
      <c r="C23" s="25" t="s">
        <v>93</v>
      </c>
      <c r="D23" s="53" t="s">
        <v>64</v>
      </c>
      <c r="E23" s="53" t="s">
        <v>109</v>
      </c>
      <c r="F23" s="53" t="s">
        <v>21</v>
      </c>
      <c r="G23" s="53" t="s">
        <v>91</v>
      </c>
      <c r="H23" s="53" t="s">
        <v>86</v>
      </c>
      <c r="I23" s="54">
        <v>7.5399999999999995E-2</v>
      </c>
      <c r="J23" s="54">
        <v>0.10470997746519492</v>
      </c>
      <c r="K23" s="52">
        <v>2396492.2746000001</v>
      </c>
      <c r="L23" s="54">
        <v>2.2978060789145171E-2</v>
      </c>
      <c r="M23" s="55">
        <v>2.7682258164625651E-2</v>
      </c>
      <c r="N23" s="56">
        <v>6.5048566249991557</v>
      </c>
      <c r="O23" s="59">
        <v>0.71</v>
      </c>
      <c r="P23" s="59" t="s">
        <v>42</v>
      </c>
      <c r="Q23" s="62">
        <v>51454</v>
      </c>
      <c r="R23" s="59" t="s">
        <v>182</v>
      </c>
      <c r="S23" s="59" t="s">
        <v>183</v>
      </c>
    </row>
    <row r="24" spans="1:19" ht="39.950000000000003" customHeight="1">
      <c r="B24" s="25">
        <v>16</v>
      </c>
      <c r="C24" s="25" t="s">
        <v>93</v>
      </c>
      <c r="D24" s="53" t="s">
        <v>206</v>
      </c>
      <c r="E24" s="53" t="s">
        <v>207</v>
      </c>
      <c r="F24" s="53" t="s">
        <v>30</v>
      </c>
      <c r="G24" s="53" t="s">
        <v>100</v>
      </c>
      <c r="H24" s="53" t="s">
        <v>86</v>
      </c>
      <c r="I24" s="54">
        <v>0.1061</v>
      </c>
      <c r="J24" s="54">
        <v>0.1067433845651978</v>
      </c>
      <c r="K24" s="52">
        <v>865859.63540000003</v>
      </c>
      <c r="L24" s="54">
        <v>8.3020402560692961E-3</v>
      </c>
      <c r="M24" s="55">
        <v>1.0001680462530225E-2</v>
      </c>
      <c r="N24" s="56">
        <v>4.6189245655323257</v>
      </c>
      <c r="O24" s="59">
        <v>0.66225165562913912</v>
      </c>
      <c r="P24" s="59" t="s">
        <v>42</v>
      </c>
      <c r="Q24" s="62">
        <v>49667</v>
      </c>
      <c r="R24" s="59" t="s">
        <v>215</v>
      </c>
      <c r="S24" s="59" t="s">
        <v>187</v>
      </c>
    </row>
    <row r="25" spans="1:19" ht="39.950000000000003" customHeight="1">
      <c r="A25" s="4"/>
      <c r="B25" s="25">
        <v>17</v>
      </c>
      <c r="C25" s="25" t="s">
        <v>93</v>
      </c>
      <c r="D25" s="53" t="s">
        <v>65</v>
      </c>
      <c r="E25" s="53" t="s">
        <v>110</v>
      </c>
      <c r="F25" s="53" t="s">
        <v>33</v>
      </c>
      <c r="G25" s="53" t="s">
        <v>91</v>
      </c>
      <c r="H25" s="53" t="s">
        <v>105</v>
      </c>
      <c r="I25" s="54">
        <v>6.8000000000000005E-2</v>
      </c>
      <c r="J25" s="54">
        <v>6.8000000000000005E-2</v>
      </c>
      <c r="K25" s="52">
        <v>1609864.3866999999</v>
      </c>
      <c r="L25" s="54">
        <v>1.5435710822830335E-2</v>
      </c>
      <c r="M25" s="55">
        <v>1.8595796045328149E-2</v>
      </c>
      <c r="N25" s="56">
        <v>1.3800151497554809</v>
      </c>
      <c r="O25" s="59">
        <v>0.47458892159751703</v>
      </c>
      <c r="P25" s="59" t="s">
        <v>31</v>
      </c>
      <c r="Q25" s="62">
        <v>46225</v>
      </c>
      <c r="R25" s="59" t="s">
        <v>181</v>
      </c>
      <c r="S25" s="59" t="s">
        <v>162</v>
      </c>
    </row>
    <row r="26" spans="1:19" ht="39.950000000000003" customHeight="1">
      <c r="B26" s="25">
        <v>18</v>
      </c>
      <c r="C26" s="25" t="s">
        <v>93</v>
      </c>
      <c r="D26" s="53" t="s">
        <v>70</v>
      </c>
      <c r="E26" s="53" t="s">
        <v>116</v>
      </c>
      <c r="F26" s="53" t="s">
        <v>30</v>
      </c>
      <c r="G26" s="53" t="s">
        <v>91</v>
      </c>
      <c r="H26" s="53" t="s">
        <v>86</v>
      </c>
      <c r="I26" s="54">
        <v>9.5000000000000001E-2</v>
      </c>
      <c r="J26" s="54">
        <v>0.12253097792836004</v>
      </c>
      <c r="K26" s="52">
        <v>1865248.0119</v>
      </c>
      <c r="L26" s="54">
        <v>1.7884381543196975E-2</v>
      </c>
      <c r="M26" s="55">
        <v>2.1545772358097355E-2</v>
      </c>
      <c r="N26" s="56">
        <v>2.4647380581602647</v>
      </c>
      <c r="O26" s="59">
        <v>0.43103448275862066</v>
      </c>
      <c r="P26" s="59" t="s">
        <v>42</v>
      </c>
      <c r="Q26" s="62">
        <v>48689</v>
      </c>
      <c r="R26" s="59" t="s">
        <v>175</v>
      </c>
      <c r="S26" s="59" t="s">
        <v>167</v>
      </c>
    </row>
    <row r="27" spans="1:19" ht="39.950000000000003" customHeight="1">
      <c r="A27" s="4"/>
      <c r="B27" s="25">
        <v>19</v>
      </c>
      <c r="C27" s="25" t="s">
        <v>93</v>
      </c>
      <c r="D27" s="53" t="s">
        <v>71</v>
      </c>
      <c r="E27" s="53" t="s">
        <v>117</v>
      </c>
      <c r="F27" s="53" t="s">
        <v>30</v>
      </c>
      <c r="G27" s="53" t="s">
        <v>97</v>
      </c>
      <c r="H27" s="53" t="s">
        <v>86</v>
      </c>
      <c r="I27" s="54">
        <v>0.12</v>
      </c>
      <c r="J27" s="54">
        <v>0.14641304566556793</v>
      </c>
      <c r="K27" s="52">
        <v>1135887.8171000001</v>
      </c>
      <c r="L27" s="54">
        <v>1.0891125995943244E-2</v>
      </c>
      <c r="M27" s="55">
        <v>1.3120818344496275E-2</v>
      </c>
      <c r="N27" s="56">
        <v>3.0587388795226396</v>
      </c>
      <c r="O27" s="59">
        <v>0.72013778349874746</v>
      </c>
      <c r="P27" s="59" t="s">
        <v>46</v>
      </c>
      <c r="Q27" s="62">
        <v>48085</v>
      </c>
      <c r="R27" s="59" t="s">
        <v>174</v>
      </c>
      <c r="S27" s="59" t="s">
        <v>162</v>
      </c>
    </row>
    <row r="28" spans="1:19" ht="39.950000000000003" customHeight="1">
      <c r="B28" s="25">
        <v>20</v>
      </c>
      <c r="C28" s="25" t="s">
        <v>93</v>
      </c>
      <c r="D28" s="53" t="s">
        <v>62</v>
      </c>
      <c r="E28" s="53" t="s">
        <v>106</v>
      </c>
      <c r="F28" s="53" t="s">
        <v>30</v>
      </c>
      <c r="G28" s="53" t="s">
        <v>91</v>
      </c>
      <c r="H28" s="53" t="s">
        <v>105</v>
      </c>
      <c r="I28" s="54">
        <v>4.3900000000000002E-2</v>
      </c>
      <c r="J28" s="54">
        <v>3.7499999999999999E-2</v>
      </c>
      <c r="K28" s="52">
        <v>1904696.7496</v>
      </c>
      <c r="L28" s="54">
        <v>1.8262624153253765E-2</v>
      </c>
      <c r="M28" s="55">
        <v>2.2001450914984115E-2</v>
      </c>
      <c r="N28" s="56">
        <v>2.3414923798271201</v>
      </c>
      <c r="O28" s="59">
        <v>0.54207428997788365</v>
      </c>
      <c r="P28" s="59" t="s">
        <v>46</v>
      </c>
      <c r="Q28" s="62">
        <v>47597</v>
      </c>
      <c r="R28" s="59" t="s">
        <v>186</v>
      </c>
      <c r="S28" s="59" t="s">
        <v>187</v>
      </c>
    </row>
    <row r="29" spans="1:19" ht="39.950000000000003" customHeight="1">
      <c r="A29" s="4"/>
      <c r="B29" s="25">
        <v>21</v>
      </c>
      <c r="C29" s="25" t="s">
        <v>93</v>
      </c>
      <c r="D29" s="53" t="s">
        <v>60</v>
      </c>
      <c r="E29" s="53" t="s">
        <v>103</v>
      </c>
      <c r="F29" s="53" t="s">
        <v>39</v>
      </c>
      <c r="G29" s="53" t="s">
        <v>100</v>
      </c>
      <c r="H29" s="53" t="s">
        <v>86</v>
      </c>
      <c r="I29" s="54">
        <v>7.4999999999999997E-2</v>
      </c>
      <c r="J29" s="54">
        <v>0.10653141935736889</v>
      </c>
      <c r="K29" s="52">
        <v>1747589.9234</v>
      </c>
      <c r="L29" s="54">
        <v>1.6756251593210435E-2</v>
      </c>
      <c r="M29" s="55">
        <v>2.0186685322627147E-2</v>
      </c>
      <c r="N29" s="56">
        <v>3.6258344905269819</v>
      </c>
      <c r="O29" s="59">
        <v>0.55100000000000005</v>
      </c>
      <c r="P29" s="59" t="s">
        <v>46</v>
      </c>
      <c r="Q29" s="62">
        <v>48534</v>
      </c>
      <c r="R29" s="59" t="s">
        <v>190</v>
      </c>
      <c r="S29" s="59" t="s">
        <v>191</v>
      </c>
    </row>
    <row r="30" spans="1:19" ht="39.950000000000003" customHeight="1">
      <c r="A30" s="4"/>
      <c r="B30" s="25">
        <v>22</v>
      </c>
      <c r="C30" s="25" t="s">
        <v>93</v>
      </c>
      <c r="D30" s="53" t="s">
        <v>61</v>
      </c>
      <c r="E30" s="53" t="s">
        <v>104</v>
      </c>
      <c r="F30" s="53" t="s">
        <v>21</v>
      </c>
      <c r="G30" s="53" t="s">
        <v>100</v>
      </c>
      <c r="H30" s="53" t="s">
        <v>86</v>
      </c>
      <c r="I30" s="54">
        <v>7.3599999999999999E-2</v>
      </c>
      <c r="J30" s="54">
        <v>0.13152493783103192</v>
      </c>
      <c r="K30" s="52">
        <v>1407769.6181000001</v>
      </c>
      <c r="L30" s="54">
        <v>1.349798461887914E-2</v>
      </c>
      <c r="M30" s="55">
        <v>1.6261367673745249E-2</v>
      </c>
      <c r="N30" s="56">
        <v>1.3264012000500254</v>
      </c>
      <c r="O30" s="59" t="s">
        <v>42</v>
      </c>
      <c r="P30" s="59" t="s">
        <v>42</v>
      </c>
      <c r="Q30" s="62">
        <v>46615</v>
      </c>
      <c r="R30" s="59" t="s">
        <v>188</v>
      </c>
      <c r="S30" s="59" t="s">
        <v>189</v>
      </c>
    </row>
    <row r="31" spans="1:19" ht="39.950000000000003" customHeight="1">
      <c r="A31" s="4"/>
      <c r="B31" s="25">
        <v>23</v>
      </c>
      <c r="C31" s="25" t="s">
        <v>93</v>
      </c>
      <c r="D31" s="53" t="s">
        <v>59</v>
      </c>
      <c r="E31" s="53" t="s">
        <v>102</v>
      </c>
      <c r="F31" s="53" t="s">
        <v>33</v>
      </c>
      <c r="G31" s="53" t="s">
        <v>97</v>
      </c>
      <c r="H31" s="53" t="s">
        <v>86</v>
      </c>
      <c r="I31" s="54">
        <v>6.5000000000000002E-2</v>
      </c>
      <c r="J31" s="54">
        <v>8.9618229263992641E-2</v>
      </c>
      <c r="K31" s="52">
        <v>1519037.9822</v>
      </c>
      <c r="L31" s="54">
        <v>1.4564848577213945E-2</v>
      </c>
      <c r="M31" s="55">
        <v>1.7546646000413699E-2</v>
      </c>
      <c r="N31" s="56">
        <v>3.933666569329235</v>
      </c>
      <c r="O31" s="59">
        <v>0.75</v>
      </c>
      <c r="P31" s="59" t="s">
        <v>46</v>
      </c>
      <c r="Q31" s="62">
        <v>49836</v>
      </c>
      <c r="R31" s="59" t="s">
        <v>192</v>
      </c>
      <c r="S31" s="59" t="s">
        <v>193</v>
      </c>
    </row>
    <row r="32" spans="1:19" ht="45" customHeight="1">
      <c r="A32" s="4"/>
      <c r="B32" s="25">
        <v>24</v>
      </c>
      <c r="C32" s="25" t="s">
        <v>93</v>
      </c>
      <c r="D32" s="53" t="s">
        <v>54</v>
      </c>
      <c r="E32" s="53" t="s">
        <v>92</v>
      </c>
      <c r="F32" s="53" t="s">
        <v>44</v>
      </c>
      <c r="G32" s="53" t="s">
        <v>91</v>
      </c>
      <c r="H32" s="53" t="s">
        <v>86</v>
      </c>
      <c r="I32" s="54">
        <v>7.4999999999999997E-2</v>
      </c>
      <c r="J32" s="54">
        <v>9.4798079896201523E-2</v>
      </c>
      <c r="K32" s="52">
        <v>1297526.6322000001</v>
      </c>
      <c r="L32" s="54">
        <v>1.2440952197604223E-2</v>
      </c>
      <c r="M32" s="55">
        <v>1.4987933651500232E-2</v>
      </c>
      <c r="N32" s="56">
        <v>3.2476955646464827</v>
      </c>
      <c r="O32" s="59">
        <v>0.27</v>
      </c>
      <c r="P32" s="59" t="s">
        <v>46</v>
      </c>
      <c r="Q32" s="62">
        <v>48197</v>
      </c>
      <c r="R32" s="59" t="s">
        <v>168</v>
      </c>
      <c r="S32" s="59" t="s">
        <v>164</v>
      </c>
    </row>
    <row r="33" spans="2:19" ht="39.950000000000003" customHeight="1">
      <c r="B33" s="25">
        <v>25</v>
      </c>
      <c r="C33" s="25" t="s">
        <v>93</v>
      </c>
      <c r="D33" s="53" t="s">
        <v>58</v>
      </c>
      <c r="E33" s="53" t="s">
        <v>101</v>
      </c>
      <c r="F33" s="53" t="s">
        <v>25</v>
      </c>
      <c r="G33" s="53" t="s">
        <v>91</v>
      </c>
      <c r="H33" s="53" t="s">
        <v>86</v>
      </c>
      <c r="I33" s="54">
        <v>6.1600000000000002E-2</v>
      </c>
      <c r="J33" s="54">
        <v>8.9668289613282007E-2</v>
      </c>
      <c r="K33" s="52">
        <v>1039327.6523</v>
      </c>
      <c r="L33" s="54">
        <v>9.9652872773708604E-3</v>
      </c>
      <c r="M33" s="55">
        <v>1.2005436734990126E-2</v>
      </c>
      <c r="N33" s="56">
        <v>4.2492525197717663</v>
      </c>
      <c r="O33" s="59">
        <v>0.52580000000000005</v>
      </c>
      <c r="P33" s="59" t="s">
        <v>42</v>
      </c>
      <c r="Q33" s="62">
        <v>49779</v>
      </c>
      <c r="R33" s="59" t="s">
        <v>194</v>
      </c>
      <c r="S33" s="59" t="s">
        <v>195</v>
      </c>
    </row>
    <row r="34" spans="2:19" ht="39.950000000000003" customHeight="1">
      <c r="B34" s="25">
        <v>26</v>
      </c>
      <c r="C34" s="25" t="s">
        <v>93</v>
      </c>
      <c r="D34" s="57" t="s">
        <v>63</v>
      </c>
      <c r="E34" s="53" t="s">
        <v>108</v>
      </c>
      <c r="F34" s="53" t="s">
        <v>44</v>
      </c>
      <c r="G34" s="53" t="s">
        <v>107</v>
      </c>
      <c r="H34" s="53" t="s">
        <v>86</v>
      </c>
      <c r="I34" s="54">
        <v>6.25E-2</v>
      </c>
      <c r="J34" s="54">
        <v>0.14712960154725527</v>
      </c>
      <c r="K34" s="52">
        <v>682780.7855</v>
      </c>
      <c r="L34" s="54">
        <v>6.546642591409124E-3</v>
      </c>
      <c r="M34" s="55">
        <v>7.886907950584424E-3</v>
      </c>
      <c r="N34" s="56">
        <v>0.69964323890705149</v>
      </c>
      <c r="O34" s="59">
        <v>0.46200000000000002</v>
      </c>
      <c r="P34" s="59" t="s">
        <v>46</v>
      </c>
      <c r="Q34" s="62">
        <v>46136</v>
      </c>
      <c r="R34" s="59" t="s">
        <v>184</v>
      </c>
      <c r="S34" s="59" t="s">
        <v>185</v>
      </c>
    </row>
    <row r="35" spans="2:19" ht="39.950000000000003" customHeight="1">
      <c r="B35" s="25">
        <v>27</v>
      </c>
      <c r="C35" s="25" t="s">
        <v>93</v>
      </c>
      <c r="D35" s="53" t="s">
        <v>57</v>
      </c>
      <c r="E35" s="53" t="s">
        <v>98</v>
      </c>
      <c r="F35" s="53" t="s">
        <v>33</v>
      </c>
      <c r="G35" s="53" t="s">
        <v>97</v>
      </c>
      <c r="H35" s="53" t="s">
        <v>105</v>
      </c>
      <c r="I35" s="54">
        <v>4.4999999999999998E-2</v>
      </c>
      <c r="J35" s="54">
        <v>3.5519915999999999E-2</v>
      </c>
      <c r="K35" s="52">
        <v>1351376.7981</v>
      </c>
      <c r="L35" s="54">
        <v>1.295727866302639E-2</v>
      </c>
      <c r="M35" s="55">
        <v>1.5609965364454755E-2</v>
      </c>
      <c r="N35" s="56">
        <v>1.5</v>
      </c>
      <c r="O35" s="59">
        <v>0.82452062911393531</v>
      </c>
      <c r="P35" s="59" t="s">
        <v>37</v>
      </c>
      <c r="Q35" s="62">
        <v>47021</v>
      </c>
      <c r="R35" s="59" t="s">
        <v>196</v>
      </c>
      <c r="S35" s="59" t="s">
        <v>162</v>
      </c>
    </row>
    <row r="36" spans="2:19" ht="39.950000000000003" customHeight="1">
      <c r="B36" s="25">
        <v>29</v>
      </c>
      <c r="C36" s="25" t="s">
        <v>93</v>
      </c>
      <c r="D36" s="53" t="s">
        <v>56</v>
      </c>
      <c r="E36" s="53" t="s">
        <v>96</v>
      </c>
      <c r="F36" s="53" t="s">
        <v>33</v>
      </c>
      <c r="G36" s="53" t="s">
        <v>91</v>
      </c>
      <c r="H36" s="53" t="s">
        <v>86</v>
      </c>
      <c r="I36" s="54">
        <v>0.10349999999999999</v>
      </c>
      <c r="J36" s="54">
        <v>0.12478472009933211</v>
      </c>
      <c r="K36" s="52">
        <v>921869.15300000005</v>
      </c>
      <c r="L36" s="54">
        <v>8.8390710296812457E-3</v>
      </c>
      <c r="M36" s="55">
        <v>1.0648655185675591E-2</v>
      </c>
      <c r="N36" s="56">
        <v>5.8304421124178392</v>
      </c>
      <c r="O36" s="59">
        <v>0.42</v>
      </c>
      <c r="P36" s="59" t="s">
        <v>34</v>
      </c>
      <c r="Q36" s="62">
        <v>48745</v>
      </c>
      <c r="R36" s="59" t="s">
        <v>161</v>
      </c>
      <c r="S36" s="59" t="s">
        <v>162</v>
      </c>
    </row>
    <row r="37" spans="2:19" ht="39.950000000000003" customHeight="1">
      <c r="B37" s="25">
        <v>30</v>
      </c>
      <c r="C37" s="50" t="s">
        <v>93</v>
      </c>
      <c r="D37" s="50" t="s">
        <v>209</v>
      </c>
      <c r="E37" s="50" t="s">
        <v>210</v>
      </c>
      <c r="F37" s="50" t="s">
        <v>25</v>
      </c>
      <c r="G37" s="50" t="s">
        <v>211</v>
      </c>
      <c r="H37" s="50" t="s">
        <v>86</v>
      </c>
      <c r="I37" s="51">
        <v>5.9400000000000001E-2</v>
      </c>
      <c r="J37" s="54">
        <v>0.11642482202332176</v>
      </c>
      <c r="K37" s="52">
        <v>716674.0527</v>
      </c>
      <c r="L37" s="54">
        <v>6.8716182077792334E-3</v>
      </c>
      <c r="M37" s="55">
        <v>8.278414396324851E-3</v>
      </c>
      <c r="N37" s="56">
        <v>6.1697949682447222</v>
      </c>
      <c r="O37" s="59">
        <v>0.35580000000000001</v>
      </c>
      <c r="P37" s="56" t="s">
        <v>42</v>
      </c>
      <c r="Q37" s="62">
        <v>51424</v>
      </c>
      <c r="R37" s="59" t="s">
        <v>197</v>
      </c>
      <c r="S37" s="59" t="s">
        <v>195</v>
      </c>
    </row>
    <row r="38" spans="2:19" ht="39.950000000000003" customHeight="1">
      <c r="B38" s="25">
        <v>31</v>
      </c>
      <c r="C38" s="53" t="s">
        <v>93</v>
      </c>
      <c r="D38" s="53" t="s">
        <v>212</v>
      </c>
      <c r="E38" s="53" t="s">
        <v>213</v>
      </c>
      <c r="F38" s="53" t="s">
        <v>33</v>
      </c>
      <c r="G38" s="53" t="s">
        <v>94</v>
      </c>
      <c r="H38" s="53" t="s">
        <v>86</v>
      </c>
      <c r="I38" s="54">
        <v>0.1065</v>
      </c>
      <c r="J38" s="54">
        <v>0.12907807317265083</v>
      </c>
      <c r="K38" s="52">
        <v>669389.0906</v>
      </c>
      <c r="L38" s="54">
        <v>6.4182402665849195E-3</v>
      </c>
      <c r="M38" s="55">
        <v>7.732218382246225E-3</v>
      </c>
      <c r="N38" s="56">
        <v>3.2189919456362066</v>
      </c>
      <c r="O38" s="59">
        <v>0.42</v>
      </c>
      <c r="P38" s="56" t="s">
        <v>31</v>
      </c>
      <c r="Q38" s="62">
        <v>47052</v>
      </c>
      <c r="R38" s="59" t="s">
        <v>198</v>
      </c>
      <c r="S38" s="59" t="s">
        <v>162</v>
      </c>
    </row>
    <row r="39" spans="2:19" ht="39.950000000000003" customHeight="1">
      <c r="B39" s="25">
        <v>32</v>
      </c>
      <c r="C39" s="53" t="s">
        <v>93</v>
      </c>
      <c r="D39" s="53" t="s">
        <v>55</v>
      </c>
      <c r="E39" s="53" t="s">
        <v>95</v>
      </c>
      <c r="F39" s="53" t="s">
        <v>36</v>
      </c>
      <c r="G39" s="53" t="s">
        <v>94</v>
      </c>
      <c r="H39" s="53" t="s">
        <v>86</v>
      </c>
      <c r="I39" s="54">
        <v>0.1086</v>
      </c>
      <c r="J39" s="54">
        <v>7.13529645809724E-2</v>
      </c>
      <c r="K39" s="52">
        <v>120346.8671</v>
      </c>
      <c r="L39" s="54">
        <v>1.1539105121749409E-3</v>
      </c>
      <c r="M39" s="55">
        <v>1.3901455388259708E-3</v>
      </c>
      <c r="N39" s="56">
        <v>3.382111476520381</v>
      </c>
      <c r="O39" s="59" t="s">
        <v>42</v>
      </c>
      <c r="P39" s="56" t="s">
        <v>37</v>
      </c>
      <c r="Q39" s="62">
        <v>48606</v>
      </c>
      <c r="R39" s="59" t="s">
        <v>169</v>
      </c>
      <c r="S39" s="59" t="s">
        <v>162</v>
      </c>
    </row>
    <row r="40" spans="2:19" ht="39.950000000000003" customHeight="1">
      <c r="B40" s="25">
        <v>33</v>
      </c>
      <c r="C40" s="53" t="s">
        <v>93</v>
      </c>
      <c r="D40" s="53" t="s">
        <v>201</v>
      </c>
      <c r="E40" s="53" t="s">
        <v>92</v>
      </c>
      <c r="F40" s="53" t="s">
        <v>44</v>
      </c>
      <c r="G40" s="53" t="s">
        <v>91</v>
      </c>
      <c r="H40" s="53" t="s">
        <v>86</v>
      </c>
      <c r="I40" s="54">
        <v>7.4999999999999997E-2</v>
      </c>
      <c r="J40" s="54">
        <v>9.4765341117494822E-2</v>
      </c>
      <c r="K40" s="52">
        <v>429561.9804</v>
      </c>
      <c r="L40" s="54">
        <v>4.1187286113760907E-3</v>
      </c>
      <c r="M40" s="55">
        <v>4.9619378143522033E-3</v>
      </c>
      <c r="N40" s="56">
        <v>3.2476955646464827</v>
      </c>
      <c r="O40" s="59">
        <v>0.27</v>
      </c>
      <c r="P40" s="56" t="s">
        <v>46</v>
      </c>
      <c r="Q40" s="62">
        <v>48197</v>
      </c>
      <c r="R40" s="59" t="s">
        <v>168</v>
      </c>
      <c r="S40" s="59" t="s">
        <v>164</v>
      </c>
    </row>
    <row r="41" spans="2:19" ht="39.950000000000003" customHeight="1">
      <c r="B41" s="25">
        <v>34</v>
      </c>
      <c r="C41" s="53" t="s">
        <v>93</v>
      </c>
      <c r="D41" s="53" t="s">
        <v>216</v>
      </c>
      <c r="E41" s="53" t="s">
        <v>217</v>
      </c>
      <c r="F41" s="53" t="s">
        <v>33</v>
      </c>
      <c r="G41" s="53" t="s">
        <v>94</v>
      </c>
      <c r="H41" s="53" t="s">
        <v>105</v>
      </c>
      <c r="I41" s="54">
        <v>4.8000000000000001E-2</v>
      </c>
      <c r="J41" s="54">
        <v>4.0000001039999997E-2</v>
      </c>
      <c r="K41" s="52">
        <v>4111607.8464000002</v>
      </c>
      <c r="L41" s="54">
        <v>3.9422941620571111E-2</v>
      </c>
      <c r="M41" s="55">
        <v>4.7493827158171339E-2</v>
      </c>
      <c r="N41" s="74">
        <v>3.2981077137530121</v>
      </c>
      <c r="O41" s="75">
        <v>0.66225165562913912</v>
      </c>
      <c r="P41" s="74" t="s">
        <v>20</v>
      </c>
      <c r="Q41" s="76">
        <v>47689</v>
      </c>
      <c r="R41" s="59" t="s">
        <v>218</v>
      </c>
      <c r="S41" s="59" t="s">
        <v>162</v>
      </c>
    </row>
    <row r="42" spans="2:19" ht="39.950000000000003" customHeight="1">
      <c r="B42" s="25">
        <v>35</v>
      </c>
      <c r="C42" s="53" t="s">
        <v>93</v>
      </c>
      <c r="D42" s="53" t="s">
        <v>220</v>
      </c>
      <c r="E42" s="53" t="s">
        <v>219</v>
      </c>
      <c r="F42" s="53" t="s">
        <v>33</v>
      </c>
      <c r="G42" s="53" t="s">
        <v>94</v>
      </c>
      <c r="H42" s="53" t="s">
        <v>105</v>
      </c>
      <c r="I42" s="54">
        <v>0.04</v>
      </c>
      <c r="J42" s="54">
        <v>0.04</v>
      </c>
      <c r="K42" s="52">
        <v>8140174.6700999998</v>
      </c>
      <c r="L42" s="54">
        <v>7.8049668837358296E-2</v>
      </c>
      <c r="M42" s="55">
        <v>9.4028434437772604E-2</v>
      </c>
      <c r="N42" s="74">
        <v>2.36</v>
      </c>
      <c r="O42" s="75">
        <v>0.67567567567567566</v>
      </c>
      <c r="P42" s="74" t="s">
        <v>29</v>
      </c>
      <c r="Q42" s="76">
        <v>47018</v>
      </c>
      <c r="R42" s="75" t="s">
        <v>221</v>
      </c>
      <c r="S42" s="59" t="s">
        <v>162</v>
      </c>
    </row>
    <row r="43" spans="2:19" ht="39.950000000000003" customHeight="1">
      <c r="B43" s="78">
        <v>35</v>
      </c>
      <c r="C43" s="58" t="s">
        <v>90</v>
      </c>
      <c r="D43" s="58" t="s">
        <v>89</v>
      </c>
      <c r="E43" s="58" t="s">
        <v>41</v>
      </c>
      <c r="F43" s="58" t="s">
        <v>42</v>
      </c>
      <c r="G43" s="58" t="s">
        <v>42</v>
      </c>
      <c r="H43" s="58" t="s">
        <v>42</v>
      </c>
      <c r="I43" s="80" t="s">
        <v>42</v>
      </c>
      <c r="J43" s="79" t="s">
        <v>42</v>
      </c>
      <c r="K43" s="77">
        <v>3485000</v>
      </c>
      <c r="L43" s="79">
        <f t="shared" ref="L11:L44" si="0">K43/SUM($K$10:$K$44)</f>
        <v>3.341489672172504E-2</v>
      </c>
      <c r="M43" s="80" t="s">
        <v>42</v>
      </c>
      <c r="N43" s="58" t="s">
        <v>42</v>
      </c>
      <c r="O43" s="60" t="s">
        <v>42</v>
      </c>
      <c r="P43" s="60" t="s">
        <v>42</v>
      </c>
      <c r="Q43" s="60" t="s">
        <v>42</v>
      </c>
      <c r="R43" s="60" t="s">
        <v>42</v>
      </c>
      <c r="S43" s="60" t="s">
        <v>42</v>
      </c>
    </row>
    <row r="44" spans="2:19" ht="39.950000000000003" customHeight="1">
      <c r="B44" s="25">
        <v>36</v>
      </c>
      <c r="C44" s="53" t="s">
        <v>88</v>
      </c>
      <c r="D44" s="53" t="s">
        <v>42</v>
      </c>
      <c r="E44" s="53" t="s">
        <v>87</v>
      </c>
      <c r="F44" s="53" t="s">
        <v>42</v>
      </c>
      <c r="G44" s="53" t="s">
        <v>42</v>
      </c>
      <c r="H44" s="53" t="s">
        <v>42</v>
      </c>
      <c r="I44" s="53" t="s">
        <v>42</v>
      </c>
      <c r="J44" s="54" t="s">
        <v>42</v>
      </c>
      <c r="K44" s="52">
        <v>14238385.341459</v>
      </c>
      <c r="L44" s="54">
        <f t="shared" si="0"/>
        <v>0.13652056690644943</v>
      </c>
      <c r="M44" s="53" t="s">
        <v>42</v>
      </c>
      <c r="N44" s="53" t="s">
        <v>42</v>
      </c>
      <c r="O44" s="61" t="s">
        <v>42</v>
      </c>
      <c r="P44" s="61" t="s">
        <v>42</v>
      </c>
      <c r="Q44" s="61" t="s">
        <v>42</v>
      </c>
      <c r="R44" s="61" t="s">
        <v>42</v>
      </c>
      <c r="S44" s="61" t="s">
        <v>42</v>
      </c>
    </row>
    <row r="45" spans="2:19" ht="24.95" customHeight="1">
      <c r="B45" s="23"/>
      <c r="C45" s="23"/>
      <c r="D45" s="23"/>
      <c r="E45" s="23"/>
      <c r="F45" s="23"/>
      <c r="G45" s="23"/>
      <c r="H45" s="23"/>
      <c r="I45" s="26"/>
      <c r="J45" s="23"/>
      <c r="K45" s="24">
        <f>SUM(K10:K44)</f>
        <v>104294800.87945899</v>
      </c>
      <c r="L45" s="47">
        <f>SUM(L10:L44)</f>
        <v>1.0000000000000004</v>
      </c>
      <c r="M45" s="27"/>
      <c r="N45" s="41"/>
      <c r="O45" s="28"/>
      <c r="P45" s="27"/>
      <c r="Q45" s="29"/>
      <c r="R45" s="29"/>
      <c r="S45" s="29"/>
    </row>
    <row r="48" spans="2:19"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s="22" customFormat="1"/>
    <row r="79" s="22" customFormat="1"/>
    <row r="80" s="22" customFormat="1"/>
    <row r="81" spans="1:18" s="22" customFormat="1"/>
    <row r="82" spans="1:18" s="22" customFormat="1"/>
    <row r="83" spans="1:18" s="22" customFormat="1"/>
    <row r="84" spans="1:18" s="22" customFormat="1"/>
    <row r="85" spans="1:18" s="22" customFormat="1"/>
    <row r="86" spans="1:18" s="22" customFormat="1"/>
    <row r="87" spans="1:18" s="22" customFormat="1"/>
    <row r="88" spans="1:18" s="22" customFormat="1"/>
    <row r="89" spans="1:18" s="46" customFormat="1"/>
    <row r="90" spans="1:18" s="46" customFormat="1"/>
    <row r="91" spans="1:18" s="48" customFormat="1">
      <c r="A91" s="22"/>
      <c r="B91" s="22"/>
      <c r="C91" s="22"/>
      <c r="D91" s="22"/>
      <c r="E91" s="22"/>
      <c r="F91" s="22"/>
      <c r="G91" s="22"/>
      <c r="H91" s="22"/>
      <c r="I91" s="22"/>
      <c r="J91" s="22"/>
      <c r="K91" s="22"/>
      <c r="L91" s="22"/>
      <c r="M91" s="22"/>
      <c r="N91" s="22"/>
      <c r="O91" s="22"/>
      <c r="P91" s="22"/>
      <c r="Q91" s="22"/>
      <c r="R91" s="22"/>
    </row>
    <row r="92" spans="1:18" s="48" customFormat="1">
      <c r="A92" s="22"/>
      <c r="B92" s="22"/>
      <c r="C92" s="22"/>
      <c r="D92" s="22"/>
      <c r="E92" s="22"/>
      <c r="F92" s="22"/>
      <c r="G92" s="22"/>
      <c r="H92" s="22"/>
      <c r="I92" s="22"/>
      <c r="J92" s="22"/>
      <c r="K92" s="22"/>
      <c r="L92" s="22"/>
      <c r="M92" s="22"/>
      <c r="N92" s="22"/>
      <c r="O92" s="22"/>
      <c r="P92" s="22"/>
      <c r="Q92" s="22"/>
      <c r="R92" s="22"/>
    </row>
    <row r="93" spans="1:18" s="48" customFormat="1">
      <c r="A93" s="22"/>
      <c r="B93" s="22"/>
      <c r="C93" s="22"/>
      <c r="D93" s="22"/>
      <c r="E93" s="22"/>
      <c r="F93" s="22"/>
      <c r="G93" s="22"/>
      <c r="H93" s="22"/>
      <c r="I93" s="22"/>
      <c r="J93" s="22"/>
      <c r="K93" s="22"/>
      <c r="L93" s="22"/>
      <c r="M93" s="22"/>
      <c r="N93" s="22"/>
      <c r="O93" s="22"/>
      <c r="P93" s="22"/>
      <c r="Q93" s="22"/>
      <c r="R93" s="22"/>
    </row>
    <row r="94" spans="1:18" s="48" customFormat="1">
      <c r="A94" s="22"/>
      <c r="B94" s="22"/>
      <c r="C94" s="22"/>
      <c r="D94" s="22"/>
      <c r="E94" s="22"/>
      <c r="F94" s="22"/>
      <c r="G94" s="22"/>
      <c r="H94" s="22"/>
      <c r="I94" s="22"/>
      <c r="J94" s="22"/>
      <c r="K94" s="22"/>
      <c r="L94" s="22"/>
      <c r="M94" s="22"/>
      <c r="N94" s="22"/>
      <c r="O94" s="22"/>
      <c r="P94" s="22"/>
      <c r="Q94" s="22"/>
      <c r="R94" s="22"/>
    </row>
    <row r="95" spans="1:18" s="48" customFormat="1">
      <c r="A95" s="22"/>
      <c r="B95" s="22"/>
      <c r="C95" s="22"/>
      <c r="D95" s="22"/>
      <c r="E95" s="22"/>
      <c r="F95" s="22"/>
      <c r="G95" s="22"/>
      <c r="H95" s="22"/>
      <c r="I95" s="22"/>
      <c r="J95" s="22"/>
      <c r="K95" s="22"/>
      <c r="L95" s="22"/>
      <c r="M95" s="22"/>
      <c r="N95" s="22"/>
      <c r="O95" s="22"/>
      <c r="P95" s="22"/>
      <c r="Q95" s="22"/>
      <c r="R95" s="22"/>
    </row>
    <row r="96" spans="1:18" s="66" customFormat="1" ht="17.25">
      <c r="A96" s="22"/>
      <c r="B96" s="63" t="s">
        <v>85</v>
      </c>
      <c r="C96" s="64" t="s">
        <v>84</v>
      </c>
      <c r="D96" s="64" t="s">
        <v>83</v>
      </c>
      <c r="E96" s="64" t="s">
        <v>82</v>
      </c>
      <c r="F96" s="64" t="s">
        <v>81</v>
      </c>
      <c r="G96" s="64" t="s">
        <v>80</v>
      </c>
      <c r="H96" s="64" t="s">
        <v>50</v>
      </c>
      <c r="I96" s="65" t="s">
        <v>52</v>
      </c>
      <c r="J96" s="65" t="s">
        <v>51</v>
      </c>
      <c r="K96" s="65" t="s">
        <v>79</v>
      </c>
      <c r="L96" s="65" t="s">
        <v>47</v>
      </c>
      <c r="M96" s="65"/>
    </row>
    <row r="97" spans="1:12" s="66" customFormat="1" ht="17.25">
      <c r="A97" s="22"/>
      <c r="B97" s="67" t="e">
        <f>#REF!</f>
        <v>#REF!</v>
      </c>
      <c r="C97" s="67" t="e">
        <f>#REF!</f>
        <v>#REF!</v>
      </c>
      <c r="D97" s="68">
        <f>SUMIF($D$10:$D$41,B97,$L$10:$L$41)</f>
        <v>0</v>
      </c>
      <c r="E97" s="68">
        <f>SUMIF($D$10:$D$41,B97,$M$10:$M$41)</f>
        <v>0</v>
      </c>
      <c r="F97" s="69" t="e">
        <f>VLOOKUP($B97,D10:G41,4,FALSE)</f>
        <v>#REF!</v>
      </c>
      <c r="G97" s="69" t="e">
        <f>VLOOKUP($B97,D10:G41,3,FALSE)</f>
        <v>#REF!</v>
      </c>
      <c r="H97" s="69" t="e">
        <f>VLOOKUP($B97,$D$10:$P$41,13,FALSE)</f>
        <v>#REF!</v>
      </c>
      <c r="I97" s="70" t="e">
        <f>YEAR(VLOOKUP($B97,$D$10:$Q$41,14,FALSE))</f>
        <v>#REF!</v>
      </c>
      <c r="J97" s="69" t="e">
        <f ca="1">YEAR(VLOOKUP(B97,$D$10:N$41,11,FALSE)*365+TODAY())</f>
        <v>#REF!</v>
      </c>
      <c r="K97" s="69" t="e">
        <f>LEFT(#REF!,4)</f>
        <v>#REF!</v>
      </c>
      <c r="L97" s="68">
        <f>SUMIF($D$10:$D$41,B97,$O$10:$O$41)</f>
        <v>0</v>
      </c>
    </row>
    <row r="98" spans="1:12" s="66" customFormat="1" ht="24">
      <c r="A98" s="22"/>
      <c r="B98" s="67" t="str">
        <f>D10</f>
        <v>23G0006601</v>
      </c>
      <c r="C98" s="67" t="str">
        <f>E10</f>
        <v>Habitat</v>
      </c>
      <c r="D98" s="68">
        <f>SUMIF($D$10:$D$41,B98,$L$10:$L$41)</f>
        <v>7.0965949428814831E-2</v>
      </c>
      <c r="E98" s="68">
        <f>SUMIF($D$10:$D$41,B98,$M$10:$M$41)</f>
        <v>8.5494496294232475E-2</v>
      </c>
      <c r="F98" s="69" t="str">
        <f>VLOOKUP($B98,D10:G43,4,FALSE)</f>
        <v>True</v>
      </c>
      <c r="G98" s="69" t="str">
        <f>VLOOKUP($B98,D10:G43,3,FALSE)</f>
        <v>Corporativo</v>
      </c>
      <c r="H98" s="69" t="str">
        <f>VLOOKUP($B98,$D$10:$P$41,13,FALSE)</f>
        <v>GO</v>
      </c>
      <c r="I98" s="70">
        <f>YEAR(VLOOKUP($B98,$D$10:$Q$41,14,FALSE))</f>
        <v>2033</v>
      </c>
      <c r="J98" s="69">
        <f ca="1">YEAR(VLOOKUP(B98,$D$10:N$41,11,FALSE)*365+TODAY())</f>
        <v>2029</v>
      </c>
      <c r="K98" s="69" t="str">
        <f>LEFT(H10,4)</f>
        <v>IPCA</v>
      </c>
      <c r="L98" s="68">
        <f>SUMIF($D$10:$D$41,B98,$O$10:$O$41)</f>
        <v>0.43</v>
      </c>
    </row>
    <row r="99" spans="1:12" s="66" customFormat="1" ht="24">
      <c r="A99" s="22"/>
      <c r="B99" s="67" t="str">
        <f>D11</f>
        <v>23I1257019</v>
      </c>
      <c r="C99" s="67" t="str">
        <f>E11</f>
        <v>CitLog Varginha</v>
      </c>
      <c r="D99" s="68">
        <f>SUMIF($D$10:$D$41,B99,$L$10:$L$41)</f>
        <v>6.7043089587768057E-2</v>
      </c>
      <c r="E99" s="68">
        <f>SUMIF($D$10:$D$41,B99,$M$10:$M$41)</f>
        <v>8.0768526602534266E-2</v>
      </c>
      <c r="F99" s="69" t="str">
        <f>VLOOKUP($B99,D11:G44,4,FALSE)</f>
        <v>Habitasec</v>
      </c>
      <c r="G99" s="69" t="str">
        <f>VLOOKUP($B99,D11:G44,3,FALSE)</f>
        <v>Galpões Logísticos</v>
      </c>
      <c r="H99" s="69" t="str">
        <f>VLOOKUP($B99,$D$10:$P$41,13,FALSE)</f>
        <v>MG</v>
      </c>
      <c r="I99" s="70">
        <f>YEAR(VLOOKUP($B99,$D$10:$Q$41,14,FALSE))</f>
        <v>2032</v>
      </c>
      <c r="J99" s="69">
        <f ca="1">YEAR(VLOOKUP(B99,$D$10:N$41,11,FALSE)*365+TODAY())</f>
        <v>2028</v>
      </c>
      <c r="K99" s="69" t="str">
        <f>LEFT(H11,4)</f>
        <v>IPCA</v>
      </c>
      <c r="L99" s="68">
        <f>SUMIF($D$10:$D$41,B99,$O$10:$O$41)</f>
        <v>0.56999999999999995</v>
      </c>
    </row>
    <row r="100" spans="1:12" s="66" customFormat="1" ht="24">
      <c r="A100" s="22"/>
      <c r="B100" s="67" t="str">
        <f>D12</f>
        <v>23H1104566</v>
      </c>
      <c r="C100" s="67" t="str">
        <f>E12</f>
        <v>Brasol</v>
      </c>
      <c r="D100" s="68">
        <f>SUMIF($D$10:$D$41,B100,$L$10:$L$41)</f>
        <v>6.2929539335192658E-2</v>
      </c>
      <c r="E100" s="68">
        <f>SUMIF($D$10:$D$41,B100,$M$10:$M$41)</f>
        <v>7.581282728961633E-2</v>
      </c>
      <c r="F100" s="69" t="str">
        <f>VLOOKUP($B100,D12:G45,4,FALSE)</f>
        <v>Canal</v>
      </c>
      <c r="G100" s="69" t="str">
        <f>VLOOKUP($B100,D12:G45,3,FALSE)</f>
        <v>Energia</v>
      </c>
      <c r="H100" s="69" t="str">
        <f>VLOOKUP($B100,$D$10:$P$41,13,FALSE)</f>
        <v>MT</v>
      </c>
      <c r="I100" s="70">
        <f>YEAR(VLOOKUP($B100,$D$10:$Q$41,14,FALSE))</f>
        <v>2033</v>
      </c>
      <c r="J100" s="69">
        <f ca="1">YEAR(VLOOKUP(B100,$D$10:N$41,11,FALSE)*365+TODAY())</f>
        <v>2029</v>
      </c>
      <c r="K100" s="69" t="str">
        <f>LEFT(H12,4)</f>
        <v>IPCA</v>
      </c>
      <c r="L100" s="68">
        <f>SUMIF($D$10:$D$41,B100,$O$10:$O$41)</f>
        <v>0</v>
      </c>
    </row>
    <row r="101" spans="1:12" s="66" customFormat="1" ht="24">
      <c r="A101" s="22"/>
      <c r="B101" s="67" t="str">
        <f>D13</f>
        <v>21L0355178</v>
      </c>
      <c r="C101" s="67" t="str">
        <f>E13</f>
        <v>Viracopos</v>
      </c>
      <c r="D101" s="68">
        <f>SUMIF($D$10:$D$41,B101,$L$10:$L$41)</f>
        <v>4.5653224585021121E-2</v>
      </c>
      <c r="E101" s="68">
        <f>SUMIF($D$10:$D$41,B101,$M$10:$M$41)</f>
        <v>5.4999608566063188E-2</v>
      </c>
      <c r="F101" s="69" t="str">
        <f>VLOOKUP($B101,D13:G46,4,FALSE)</f>
        <v>True</v>
      </c>
      <c r="G101" s="69" t="str">
        <f>VLOOKUP($B101,D13:G46,3,FALSE)</f>
        <v>Galpões Logísticos</v>
      </c>
      <c r="H101" s="69" t="str">
        <f>VLOOKUP($B101,$D$10:$P$41,13,FALSE)</f>
        <v>SP</v>
      </c>
      <c r="I101" s="70">
        <f>YEAR(VLOOKUP($B101,$D$10:$Q$41,14,FALSE))</f>
        <v>2031</v>
      </c>
      <c r="J101" s="69">
        <f ca="1">YEAR(VLOOKUP(B101,$D$10:N$41,11,FALSE)*365+TODAY())</f>
        <v>2029</v>
      </c>
      <c r="K101" s="69" t="str">
        <f>LEFT(H13,4)</f>
        <v>IPCA</v>
      </c>
      <c r="L101" s="68">
        <f>SUMIF($D$10:$D$41,B101,$O$10:$O$41)</f>
        <v>0.27</v>
      </c>
    </row>
    <row r="102" spans="1:12" s="66" customFormat="1" ht="24">
      <c r="A102" s="22"/>
      <c r="B102" s="67" t="str">
        <f>D14</f>
        <v>23J1338137</v>
      </c>
      <c r="C102" s="67" t="str">
        <f>E14</f>
        <v>ForGreen</v>
      </c>
      <c r="D102" s="68">
        <f>SUMIF($D$10:$D$41,B102,$L$10:$L$41)</f>
        <v>1.1551852197239169E-2</v>
      </c>
      <c r="E102" s="68">
        <f>SUMIF($D$10:$D$41,B102,$M$10:$M$41)</f>
        <v>1.3916812116479271E-2</v>
      </c>
      <c r="F102" s="69" t="str">
        <f>VLOOKUP($B102,D14:G47,4,FALSE)</f>
        <v>Canal</v>
      </c>
      <c r="G102" s="69" t="str">
        <f>VLOOKUP($B102,D14:G47,3,FALSE)</f>
        <v>Energia</v>
      </c>
      <c r="H102" s="69" t="str">
        <f>VLOOKUP($B102,$D$10:$P$41,13,FALSE)</f>
        <v>MG</v>
      </c>
      <c r="I102" s="70">
        <f>YEAR(VLOOKUP($B102,$D$10:$Q$41,14,FALSE))</f>
        <v>2033</v>
      </c>
      <c r="J102" s="69">
        <f ca="1">YEAR(VLOOKUP(B102,$D$10:N$41,11,FALSE)*365+TODAY())</f>
        <v>2028</v>
      </c>
      <c r="K102" s="69" t="str">
        <f>LEFT(H14,4)</f>
        <v>IPCA</v>
      </c>
      <c r="L102" s="68">
        <f>SUMIF($D$10:$D$41,B102,$O$10:$O$41)</f>
        <v>0</v>
      </c>
    </row>
    <row r="103" spans="1:12" s="66" customFormat="1" ht="24">
      <c r="A103" s="22"/>
      <c r="B103" s="67" t="str">
        <f>D15</f>
        <v>21H0888186</v>
      </c>
      <c r="C103" s="67" t="str">
        <f>E15</f>
        <v>Opy</v>
      </c>
      <c r="D103" s="68">
        <f>SUMIF($D$10:$D$41,B103,$L$10:$L$41)</f>
        <v>3.9186059647628328E-2</v>
      </c>
      <c r="E103" s="68">
        <f>SUMIF($D$10:$D$41,B103,$M$10:$M$41)</f>
        <v>4.7208449380223887E-2</v>
      </c>
      <c r="F103" s="69" t="str">
        <f>VLOOKUP($B103,D15:G48,4,FALSE)</f>
        <v>Virgo</v>
      </c>
      <c r="G103" s="69" t="str">
        <f>VLOOKUP($B103,D15:G48,3,FALSE)</f>
        <v>Outros</v>
      </c>
      <c r="H103" s="69" t="str">
        <f>VLOOKUP($B103,$D$10:$P$41,13,FALSE)</f>
        <v>MG</v>
      </c>
      <c r="I103" s="70">
        <f>YEAR(VLOOKUP($B103,$D$10:$Q$41,14,FALSE))</f>
        <v>2031</v>
      </c>
      <c r="J103" s="69">
        <f ca="1">YEAR(VLOOKUP(B103,$D$10:N$41,11,FALSE)*365+TODAY())</f>
        <v>2029</v>
      </c>
      <c r="K103" s="69" t="str">
        <f>LEFT(H15,4)</f>
        <v>IPCA</v>
      </c>
      <c r="L103" s="68">
        <f>SUMIF($D$10:$D$41,B103,$O$10:$O$41)</f>
        <v>0.5</v>
      </c>
    </row>
    <row r="104" spans="1:12" s="66" customFormat="1" ht="24">
      <c r="A104" s="22"/>
      <c r="B104" s="67" t="str">
        <f>D16</f>
        <v>24A2806776</v>
      </c>
      <c r="C104" s="67" t="str">
        <f>E16</f>
        <v>RCP</v>
      </c>
      <c r="D104" s="68">
        <f>SUMIF($D$10:$D$41,B104,$L$10:$L$41)</f>
        <v>3.9566725150272951E-2</v>
      </c>
      <c r="E104" s="68">
        <f>SUMIF($D$10:$D$41,B104,$M$10:$M$41)</f>
        <v>4.7667046857847124E-2</v>
      </c>
      <c r="F104" s="69" t="str">
        <f>VLOOKUP($B104,D16:G49,4,FALSE)</f>
        <v>Virgo</v>
      </c>
      <c r="G104" s="69" t="str">
        <f>VLOOKUP($B104,D16:G49,3,FALSE)</f>
        <v>Galpões Logísticos</v>
      </c>
      <c r="H104" s="69" t="str">
        <f>VLOOKUP($B104,$D$10:$P$41,13,FALSE)</f>
        <v>SP</v>
      </c>
      <c r="I104" s="70">
        <f>YEAR(VLOOKUP($B104,$D$10:$Q$41,14,FALSE))</f>
        <v>2039</v>
      </c>
      <c r="J104" s="69">
        <f ca="1">YEAR(VLOOKUP(B104,$D$10:N$41,11,FALSE)*365+TODAY())</f>
        <v>2032</v>
      </c>
      <c r="K104" s="69" t="str">
        <f>LEFT(H16,4)</f>
        <v>IPCA</v>
      </c>
      <c r="L104" s="68">
        <f>SUMIF($D$10:$D$41,B104,$O$10:$O$41)</f>
        <v>0.38</v>
      </c>
    </row>
    <row r="105" spans="1:12" s="66" customFormat="1" ht="24">
      <c r="A105" s="22"/>
      <c r="B105" s="67" t="str">
        <f>D17</f>
        <v>23J2272828</v>
      </c>
      <c r="C105" s="67" t="str">
        <f>E17</f>
        <v>PHV</v>
      </c>
      <c r="D105" s="68">
        <f>SUMIF($D$10:$D$41,B105,$L$10:$L$41)</f>
        <v>3.9030121647240408E-2</v>
      </c>
      <c r="E105" s="68">
        <f>SUMIF($D$10:$D$41,B105,$M$10:$M$41)</f>
        <v>4.702058687850863E-2</v>
      </c>
      <c r="F105" s="69" t="str">
        <f>VLOOKUP($B105,D17:G50,4,FALSE)</f>
        <v>True</v>
      </c>
      <c r="G105" s="69" t="str">
        <f>VLOOKUP($B105,D17:G50,3,FALSE)</f>
        <v>Residencial</v>
      </c>
      <c r="H105" s="69" t="str">
        <f>VLOOKUP($B105,$D$10:$P$41,13,FALSE)</f>
        <v>MG</v>
      </c>
      <c r="I105" s="70">
        <f>YEAR(VLOOKUP($B105,$D$10:$Q$41,14,FALSE))</f>
        <v>2026</v>
      </c>
      <c r="J105" s="69">
        <f ca="1">YEAR(VLOOKUP(B105,$D$10:N$41,11,FALSE)*365+TODAY())</f>
        <v>2027</v>
      </c>
      <c r="K105" s="69" t="str">
        <f>LEFT(H17,4)</f>
        <v>IPCA</v>
      </c>
      <c r="L105" s="68">
        <f>SUMIF($D$10:$D$41,B105,$O$10:$O$41)</f>
        <v>0.47</v>
      </c>
    </row>
    <row r="106" spans="1:12" s="66" customFormat="1" ht="24">
      <c r="A106" s="22"/>
      <c r="B106" s="67" t="e">
        <f>#REF!</f>
        <v>#REF!</v>
      </c>
      <c r="C106" s="67" t="e">
        <f>#REF!</f>
        <v>#REF!</v>
      </c>
      <c r="D106" s="68">
        <f>SUMIF($D$10:$D$41,B106,$L$10:$L$41)</f>
        <v>0</v>
      </c>
      <c r="E106" s="68">
        <f>SUMIF($D$10:$D$41,B106,$M$10:$M$41)</f>
        <v>0</v>
      </c>
      <c r="F106" s="69" t="e">
        <f>VLOOKUP($B106,D18:G51,4,FALSE)</f>
        <v>#REF!</v>
      </c>
      <c r="G106" s="69" t="e">
        <f>VLOOKUP($B106,D18:G51,3,FALSE)</f>
        <v>#REF!</v>
      </c>
      <c r="H106" s="69" t="e">
        <f>VLOOKUP($B106,$D$10:$P$41,13,FALSE)</f>
        <v>#REF!</v>
      </c>
      <c r="I106" s="70" t="e">
        <f>YEAR(VLOOKUP($B106,$D$10:$Q$41,14,FALSE))</f>
        <v>#REF!</v>
      </c>
      <c r="J106" s="69" t="e">
        <f ca="1">YEAR(VLOOKUP(B106,$D$10:N$41,11,FALSE)*365+TODAY())</f>
        <v>#REF!</v>
      </c>
      <c r="K106" s="69" t="e">
        <f>LEFT(#REF!,4)</f>
        <v>#REF!</v>
      </c>
      <c r="L106" s="68">
        <f>SUMIF($D$10:$D$41,B106,$O$10:$O$41)</f>
        <v>0</v>
      </c>
    </row>
    <row r="107" spans="1:12" s="66" customFormat="1" ht="24">
      <c r="A107" s="22"/>
      <c r="B107" s="67" t="str">
        <f>D18</f>
        <v>23G2304202</v>
      </c>
      <c r="C107" s="67" t="str">
        <f>E18</f>
        <v>Caprem</v>
      </c>
      <c r="D107" s="68">
        <f>SUMIF($D$10:$D$41,B107,$L$10:$L$41)</f>
        <v>2.9433757353331303E-2</v>
      </c>
      <c r="E107" s="68">
        <f>SUMIF($D$10:$D$41,B107,$M$10:$M$41)</f>
        <v>3.5459601107625825E-2</v>
      </c>
      <c r="F107" s="69" t="str">
        <f>VLOOKUP($B107,D18:G52,4,FALSE)</f>
        <v>Travessia</v>
      </c>
      <c r="G107" s="69" t="str">
        <f>VLOOKUP($B107,D18:G52,3,FALSE)</f>
        <v>Residencial</v>
      </c>
      <c r="H107" s="69" t="str">
        <f>VLOOKUP($B107,$D$10:$P$41,13,FALSE)</f>
        <v>SP</v>
      </c>
      <c r="I107" s="70">
        <f>YEAR(VLOOKUP($B107,$D$10:$Q$41,14,FALSE))</f>
        <v>2027</v>
      </c>
      <c r="J107" s="69">
        <f ca="1">YEAR(VLOOKUP(B107,$D$10:N$41,11,FALSE)*365+TODAY())</f>
        <v>2028</v>
      </c>
      <c r="K107" s="69" t="str">
        <f>LEFT(H18,4)</f>
        <v>IPCA</v>
      </c>
      <c r="L107" s="68">
        <f>SUMIF($D$10:$D$41,B107,$O$10:$O$41)</f>
        <v>0.71</v>
      </c>
    </row>
    <row r="108" spans="1:12" s="66" customFormat="1" ht="24">
      <c r="A108" s="22"/>
      <c r="B108" s="67" t="str">
        <f>D19</f>
        <v>22K1685406</v>
      </c>
      <c r="C108" s="67" t="str">
        <f>E19</f>
        <v>Diferencial</v>
      </c>
      <c r="D108" s="68">
        <f>SUMIF($D$10:$D$41,B108,$L$10:$L$41)</f>
        <v>2.7499816542292034E-2</v>
      </c>
      <c r="E108" s="68">
        <f>SUMIF($D$10:$D$41,B108,$M$10:$M$41)</f>
        <v>3.31297330958054E-2</v>
      </c>
      <c r="F108" s="69" t="str">
        <f>VLOOKUP($B108,D19:G53,4,FALSE)</f>
        <v>Virgo</v>
      </c>
      <c r="G108" s="69" t="str">
        <f>VLOOKUP($B108,D19:G53,3,FALSE)</f>
        <v>Energia</v>
      </c>
      <c r="H108" s="69" t="str">
        <f>VLOOKUP($B108,$D$10:$P$41,13,FALSE)</f>
        <v>RJ</v>
      </c>
      <c r="I108" s="70">
        <f>YEAR(VLOOKUP($B108,$D$10:$Q$41,14,FALSE))</f>
        <v>2032</v>
      </c>
      <c r="J108" s="69">
        <f ca="1">YEAR(VLOOKUP(B108,$D$10:N$41,11,FALSE)*365+TODAY())</f>
        <v>2029</v>
      </c>
      <c r="K108" s="69" t="str">
        <f>LEFT(H19,4)</f>
        <v>IPCA</v>
      </c>
      <c r="L108" s="68">
        <f>SUMIF($D$10:$D$41,B108,$O$10:$O$41)</f>
        <v>0</v>
      </c>
    </row>
    <row r="109" spans="1:12" s="66" customFormat="1" ht="24">
      <c r="A109" s="22"/>
      <c r="B109" s="67" t="str">
        <f>D20</f>
        <v>25C3605714</v>
      </c>
      <c r="C109" s="67" t="str">
        <f>E20</f>
        <v>Lotus II</v>
      </c>
      <c r="D109" s="68">
        <f>SUMIF($D$10:$D$41,B109,$L$10:$L$41)</f>
        <v>2.4481809474386572E-2</v>
      </c>
      <c r="E109" s="68">
        <f>SUMIF($D$10:$D$41,B109,$M$10:$M$41)</f>
        <v>2.9493862707826855E-2</v>
      </c>
      <c r="F109" s="69" t="str">
        <f>VLOOKUP($B109,D20:G54,4,FALSE)</f>
        <v>Canal</v>
      </c>
      <c r="G109" s="69" t="str">
        <f>VLOOKUP($B109,D20:G54,3,FALSE)</f>
        <v>Corporativo</v>
      </c>
      <c r="H109" s="69" t="str">
        <f>VLOOKUP($B109,$D$10:$P$41,13,FALSE)</f>
        <v>DF</v>
      </c>
      <c r="I109" s="70">
        <f>YEAR(VLOOKUP($B109,$D$10:$Q$41,14,FALSE))</f>
        <v>2028</v>
      </c>
      <c r="J109" s="69">
        <f ca="1">YEAR(VLOOKUP(B109,$D$10:N$41,11,FALSE)*365+TODAY())</f>
        <v>2028</v>
      </c>
      <c r="K109" s="69" t="str">
        <f>LEFT(H20,4)</f>
        <v>Pré</v>
      </c>
      <c r="L109" s="68">
        <f>SUMIF($D$10:$D$41,B109,$O$10:$O$41)</f>
        <v>0.75</v>
      </c>
    </row>
    <row r="110" spans="1:12" s="66" customFormat="1" ht="24">
      <c r="A110" s="22"/>
      <c r="B110" s="67" t="str">
        <f>D21</f>
        <v>20G0926014</v>
      </c>
      <c r="C110" s="67" t="str">
        <f>E21</f>
        <v>Quero Quero</v>
      </c>
      <c r="D110" s="68">
        <f>SUMIF($D$10:$D$41,B110,$L$10:$L$41)</f>
        <v>2.3931270219161731E-2</v>
      </c>
      <c r="E110" s="68">
        <f>SUMIF($D$10:$D$41,B110,$M$10:$M$41)</f>
        <v>2.8830613971010291E-2</v>
      </c>
      <c r="F110" s="69" t="str">
        <f>VLOOKUP($B110,D21:G55,4,FALSE)</f>
        <v>Habitasec</v>
      </c>
      <c r="G110" s="69" t="str">
        <f>VLOOKUP($B110,D21:G55,3,FALSE)</f>
        <v>Galpões Logísticos</v>
      </c>
      <c r="H110" s="69" t="str">
        <f>VLOOKUP($B110,$D$10:$P$41,13,FALSE)</f>
        <v>RS</v>
      </c>
      <c r="I110" s="70">
        <f>YEAR(VLOOKUP($B110,$D$10:$Q$41,14,FALSE))</f>
        <v>2041</v>
      </c>
      <c r="J110" s="69">
        <f ca="1">YEAR(VLOOKUP(B110,$D$10:N$41,11,FALSE)*365+TODAY())</f>
        <v>2032</v>
      </c>
      <c r="K110" s="69" t="str">
        <f>LEFT(H21,4)</f>
        <v>IPCA</v>
      </c>
      <c r="L110" s="68">
        <f>SUMIF($D$10:$D$41,B110,$O$10:$O$41)</f>
        <v>0.60499999999999998</v>
      </c>
    </row>
    <row r="111" spans="1:12" s="66" customFormat="1" ht="24">
      <c r="A111" s="22"/>
      <c r="B111" s="67" t="str">
        <f>D22</f>
        <v>21B0631104</v>
      </c>
      <c r="C111" s="67" t="str">
        <f>E22</f>
        <v>Sotreq</v>
      </c>
      <c r="D111" s="68">
        <f>SUMIF($D$10:$D$41,B111,$L$10:$L$41)</f>
        <v>2.3433953038797709E-2</v>
      </c>
      <c r="E111" s="68">
        <f>SUMIF($D$10:$D$41,B111,$M$10:$M$41)</f>
        <v>2.8231483230480435E-2</v>
      </c>
      <c r="F111" s="69" t="str">
        <f>VLOOKUP($B111,D22:G56,4,FALSE)</f>
        <v>Opea</v>
      </c>
      <c r="G111" s="69" t="str">
        <f>VLOOKUP($B111,D22:G56,3,FALSE)</f>
        <v>Galpões Logísticos</v>
      </c>
      <c r="H111" s="69" t="str">
        <f>VLOOKUP($B111,$D$10:$P$41,13,FALSE)</f>
        <v>PA</v>
      </c>
      <c r="I111" s="70">
        <f>YEAR(VLOOKUP($B111,$D$10:$Q$41,14,FALSE))</f>
        <v>2036</v>
      </c>
      <c r="J111" s="69">
        <f ca="1">YEAR(VLOOKUP(B111,$D$10:N$41,11,FALSE)*365+TODAY())</f>
        <v>2031</v>
      </c>
      <c r="K111" s="69" t="str">
        <f>LEFT(H22,4)</f>
        <v>IPCA</v>
      </c>
      <c r="L111" s="68">
        <f>SUMIF($D$10:$D$41,B111,$O$10:$O$41)</f>
        <v>0.76986912663199547</v>
      </c>
    </row>
    <row r="112" spans="1:12" s="66" customFormat="1" ht="24">
      <c r="A112" s="22"/>
      <c r="B112" s="67" t="str">
        <f>D23</f>
        <v>20K0696607</v>
      </c>
      <c r="C112" s="67" t="str">
        <f>E23</f>
        <v>Pague Menos</v>
      </c>
      <c r="D112" s="68">
        <f>SUMIF($D$10:$D$41,B112,$L$10:$L$41)</f>
        <v>2.2978060789145171E-2</v>
      </c>
      <c r="E112" s="68">
        <f>SUMIF($D$10:$D$41,B112,$M$10:$M$41)</f>
        <v>2.7682258164625651E-2</v>
      </c>
      <c r="F112" s="69" t="str">
        <f>VLOOKUP($B112,D23:G57,4,FALSE)</f>
        <v>True</v>
      </c>
      <c r="G112" s="69" t="str">
        <f>VLOOKUP($B112,D23:G57,3,FALSE)</f>
        <v>Varejo</v>
      </c>
      <c r="H112" s="69" t="str">
        <f>VLOOKUP($B112,$D$10:$P$41,13,FALSE)</f>
        <v>-</v>
      </c>
      <c r="I112" s="70">
        <f>YEAR(VLOOKUP($B112,$D$10:$Q$41,14,FALSE))</f>
        <v>2040</v>
      </c>
      <c r="J112" s="69">
        <f ca="1">YEAR(VLOOKUP(B112,$D$10:N$41,11,FALSE)*365+TODAY())</f>
        <v>2032</v>
      </c>
      <c r="K112" s="69" t="str">
        <f>LEFT(H23,4)</f>
        <v>IPCA</v>
      </c>
      <c r="L112" s="68">
        <f>SUMIF($D$10:$D$41,B112,$O$10:$O$41)</f>
        <v>0.71</v>
      </c>
    </row>
    <row r="113" spans="1:12" s="66" customFormat="1" ht="24">
      <c r="A113" s="22"/>
      <c r="B113" s="67" t="str">
        <f>D24</f>
        <v>24L2720216</v>
      </c>
      <c r="C113" s="67" t="str">
        <f>E24</f>
        <v>Gt Urbanismo</v>
      </c>
      <c r="D113" s="68">
        <f>SUMIF($D$10:$D$41,B113,$L$10:$L$41)</f>
        <v>8.3020402560692961E-3</v>
      </c>
      <c r="E113" s="68">
        <f>SUMIF($D$10:$D$41,B113,$M$10:$M$41)</f>
        <v>1.0001680462530225E-2</v>
      </c>
      <c r="F113" s="69" t="str">
        <f>VLOOKUP($B113,D24:G58,4,FALSE)</f>
        <v>Virgo</v>
      </c>
      <c r="G113" s="69" t="str">
        <f>VLOOKUP($B113,D24:G58,3,FALSE)</f>
        <v>Loteamento</v>
      </c>
      <c r="H113" s="69" t="str">
        <f>VLOOKUP($B113,$D$10:$P$41,13,FALSE)</f>
        <v>-</v>
      </c>
      <c r="I113" s="70">
        <f>YEAR(VLOOKUP($B113,$D$10:$Q$41,14,FALSE))</f>
        <v>2035</v>
      </c>
      <c r="J113" s="69">
        <f ca="1">YEAR(VLOOKUP(B113,$D$10:N$41,11,FALSE)*365+TODAY())</f>
        <v>2030</v>
      </c>
      <c r="K113" s="69" t="str">
        <f>LEFT(H24,4)</f>
        <v>IPCA</v>
      </c>
      <c r="L113" s="68">
        <f>SUMIF($D$10:$D$41,B113,$O$10:$O$41)</f>
        <v>0.66225165562913912</v>
      </c>
    </row>
    <row r="114" spans="1:12" s="66" customFormat="1" ht="24">
      <c r="A114" s="22"/>
      <c r="B114" s="67" t="str">
        <f>D25</f>
        <v>21H0748795</v>
      </c>
      <c r="C114" s="67" t="str">
        <f>E25</f>
        <v>CK</v>
      </c>
      <c r="D114" s="68">
        <f>SUMIF($D$10:$D$41,B114,$L$10:$L$41)</f>
        <v>1.5435710822830335E-2</v>
      </c>
      <c r="E114" s="68">
        <f>SUMIF($D$10:$D$41,B114,$M$10:$M$41)</f>
        <v>1.8595796045328149E-2</v>
      </c>
      <c r="F114" s="69" t="str">
        <f>VLOOKUP($B114,D25:G59,4,FALSE)</f>
        <v>True</v>
      </c>
      <c r="G114" s="69" t="str">
        <f>VLOOKUP($B114,D25:G59,3,FALSE)</f>
        <v>Residencial</v>
      </c>
      <c r="H114" s="69" t="str">
        <f>VLOOKUP($B114,$D$10:$P$41,13,FALSE)</f>
        <v>SC</v>
      </c>
      <c r="I114" s="70">
        <f>YEAR(VLOOKUP($B114,$D$10:$Q$41,14,FALSE))</f>
        <v>2026</v>
      </c>
      <c r="J114" s="69">
        <f ca="1">YEAR(VLOOKUP(B114,$D$10:N$41,11,FALSE)*365+TODAY())</f>
        <v>2027</v>
      </c>
      <c r="K114" s="69" t="str">
        <f>LEFT(H25,4)</f>
        <v xml:space="preserve">CDI </v>
      </c>
      <c r="L114" s="68">
        <f>SUMIF($D$10:$D$41,B114,$O$10:$O$41)</f>
        <v>0.47458892159751703</v>
      </c>
    </row>
    <row r="115" spans="1:12" s="66" customFormat="1" ht="24">
      <c r="A115" s="22"/>
      <c r="B115" s="67" t="str">
        <f>D26</f>
        <v>23L1199759</v>
      </c>
      <c r="C115" s="67" t="str">
        <f>E26</f>
        <v>Urba</v>
      </c>
      <c r="D115" s="68">
        <f>SUMIF($D$10:$D$41,B115,$L$10:$L$41)</f>
        <v>1.7884381543196975E-2</v>
      </c>
      <c r="E115" s="68">
        <f>SUMIF($D$10:$D$41,B115,$M$10:$M$41)</f>
        <v>2.1545772358097355E-2</v>
      </c>
      <c r="F115" s="69" t="str">
        <f>VLOOKUP($B115,D26:G60,4,FALSE)</f>
        <v>True</v>
      </c>
      <c r="G115" s="69" t="str">
        <f>VLOOKUP($B115,D26:G60,3,FALSE)</f>
        <v>Loteamento</v>
      </c>
      <c r="H115" s="69" t="str">
        <f>VLOOKUP($B115,$D$10:$P$41,13,FALSE)</f>
        <v>-</v>
      </c>
      <c r="I115" s="70">
        <f>YEAR(VLOOKUP($B115,$D$10:$Q$41,14,FALSE))</f>
        <v>2033</v>
      </c>
      <c r="J115" s="69">
        <f ca="1">YEAR(VLOOKUP(B115,$D$10:N$41,11,FALSE)*365+TODAY())</f>
        <v>2028</v>
      </c>
      <c r="K115" s="69" t="str">
        <f>LEFT(H26,4)</f>
        <v>IPCA</v>
      </c>
      <c r="L115" s="68">
        <f>SUMIF($D$10:$D$41,B115,$O$10:$O$41)</f>
        <v>0.43103448275862066</v>
      </c>
    </row>
    <row r="116" spans="1:12" s="66" customFormat="1" ht="24">
      <c r="A116" s="22"/>
      <c r="B116" s="67" t="str">
        <f>D27</f>
        <v>21H0891311</v>
      </c>
      <c r="C116" s="67" t="str">
        <f>E27</f>
        <v>Lote5</v>
      </c>
      <c r="D116" s="68">
        <f>SUMIF($D$10:$D$41,B116,$L$10:$L$41)</f>
        <v>1.0891125995943244E-2</v>
      </c>
      <c r="E116" s="68">
        <f>SUMIF($D$10:$D$41,B116,$M$10:$M$41)</f>
        <v>1.3120818344496275E-2</v>
      </c>
      <c r="F116" s="69" t="str">
        <f>VLOOKUP($B116,D27:G61,4,FALSE)</f>
        <v>Ore</v>
      </c>
      <c r="G116" s="69" t="str">
        <f>VLOOKUP($B116,D27:G61,3,FALSE)</f>
        <v>Loteamento</v>
      </c>
      <c r="H116" s="69" t="str">
        <f>VLOOKUP($B116,$D$10:$P$41,13,FALSE)</f>
        <v>SP</v>
      </c>
      <c r="I116" s="70">
        <f>YEAR(VLOOKUP($B116,$D$10:$Q$41,14,FALSE))</f>
        <v>2031</v>
      </c>
      <c r="J116" s="69">
        <f ca="1">YEAR(VLOOKUP(B116,$D$10:N$41,11,FALSE)*365+TODAY())</f>
        <v>2028</v>
      </c>
      <c r="K116" s="69" t="str">
        <f>LEFT(H27,4)</f>
        <v>IPCA</v>
      </c>
      <c r="L116" s="68">
        <f>SUMIF($D$10:$D$41,B116,$O$10:$O$41)</f>
        <v>0.72013778349874746</v>
      </c>
    </row>
    <row r="117" spans="1:12" s="66" customFormat="1" ht="24">
      <c r="A117" s="22"/>
      <c r="B117" s="67" t="str">
        <f>D28</f>
        <v>23C2831601</v>
      </c>
      <c r="C117" s="67" t="str">
        <f>E28</f>
        <v>Teriva</v>
      </c>
      <c r="D117" s="68">
        <f>SUMIF($D$10:$D$41,B117,$L$10:$L$41)</f>
        <v>1.8262624153253765E-2</v>
      </c>
      <c r="E117" s="68">
        <f>SUMIF($D$10:$D$41,B117,$M$10:$M$41)</f>
        <v>2.2001450914984115E-2</v>
      </c>
      <c r="F117" s="69" t="str">
        <f>VLOOKUP($B117,D28:G62,4,FALSE)</f>
        <v>True</v>
      </c>
      <c r="G117" s="69" t="str">
        <f>VLOOKUP($B117,D28:G62,3,FALSE)</f>
        <v>Loteamento</v>
      </c>
      <c r="H117" s="69" t="str">
        <f>VLOOKUP($B117,$D$10:$P$41,13,FALSE)</f>
        <v>SP</v>
      </c>
      <c r="I117" s="70">
        <f>YEAR(VLOOKUP($B117,$D$10:$Q$41,14,FALSE))</f>
        <v>2030</v>
      </c>
      <c r="J117" s="69">
        <f ca="1">YEAR(VLOOKUP(B117,$D$10:N$41,11,FALSE)*365+TODAY())</f>
        <v>2028</v>
      </c>
      <c r="K117" s="69" t="str">
        <f>LEFT(H28,4)</f>
        <v xml:space="preserve">CDI </v>
      </c>
      <c r="L117" s="68">
        <f>SUMIF($D$10:$D$41,B117,$O$10:$O$41)</f>
        <v>0.54207428997788365</v>
      </c>
    </row>
    <row r="118" spans="1:12" s="66" customFormat="1" ht="24">
      <c r="A118" s="22"/>
      <c r="B118" s="67" t="str">
        <f>D29</f>
        <v>20K0568000</v>
      </c>
      <c r="C118" s="67" t="str">
        <f>E29</f>
        <v>Sinal</v>
      </c>
      <c r="D118" s="68">
        <f>SUMIF($D$10:$D$41,B118,$L$10:$L$41)</f>
        <v>1.6756251593210435E-2</v>
      </c>
      <c r="E118" s="68">
        <f>SUMIF($D$10:$D$41,B118,$M$10:$M$41)</f>
        <v>2.0186685322627147E-2</v>
      </c>
      <c r="F118" s="69" t="str">
        <f>VLOOKUP($B118,D29:G63,4,FALSE)</f>
        <v>Virgo</v>
      </c>
      <c r="G118" s="69" t="str">
        <f>VLOOKUP($B118,D29:G63,3,FALSE)</f>
        <v>Corporativo</v>
      </c>
      <c r="H118" s="69" t="str">
        <f>VLOOKUP($B118,$D$10:$P$41,13,FALSE)</f>
        <v>SP</v>
      </c>
      <c r="I118" s="70">
        <f>YEAR(VLOOKUP($B118,$D$10:$Q$41,14,FALSE))</f>
        <v>2032</v>
      </c>
      <c r="J118" s="69">
        <f ca="1">YEAR(VLOOKUP(B118,$D$10:N$41,11,FALSE)*365+TODAY())</f>
        <v>2029</v>
      </c>
      <c r="K118" s="69" t="str">
        <f>LEFT(H29,4)</f>
        <v>IPCA</v>
      </c>
      <c r="L118" s="68">
        <f>SUMIF($D$10:$D$41,B118,$O$10:$O$41)</f>
        <v>0.55100000000000005</v>
      </c>
    </row>
    <row r="119" spans="1:12" s="66" customFormat="1" ht="24">
      <c r="A119" s="22"/>
      <c r="B119" s="67" t="str">
        <f>D30</f>
        <v>21H0001405</v>
      </c>
      <c r="C119" s="67" t="str">
        <f>E30</f>
        <v>Casa &amp; Vídeo</v>
      </c>
      <c r="D119" s="68">
        <f>SUMIF($D$10:$D$41,B119,$L$10:$L$41)</f>
        <v>1.349798461887914E-2</v>
      </c>
      <c r="E119" s="68">
        <f>SUMIF($D$10:$D$41,B119,$M$10:$M$41)</f>
        <v>1.6261367673745249E-2</v>
      </c>
      <c r="F119" s="69" t="str">
        <f>VLOOKUP($B119,D30:G64,4,FALSE)</f>
        <v>Virgo</v>
      </c>
      <c r="G119" s="69" t="str">
        <f>VLOOKUP($B119,D30:G64,3,FALSE)</f>
        <v>Varejo</v>
      </c>
      <c r="H119" s="69" t="str">
        <f>VLOOKUP($B119,$D$10:$P$41,13,FALSE)</f>
        <v>-</v>
      </c>
      <c r="I119" s="70">
        <f>YEAR(VLOOKUP($B119,$D$10:$Q$41,14,FALSE))</f>
        <v>2027</v>
      </c>
      <c r="J119" s="69">
        <f ca="1">YEAR(VLOOKUP(B119,$D$10:N$41,11,FALSE)*365+TODAY())</f>
        <v>2027</v>
      </c>
      <c r="K119" s="69" t="str">
        <f>LEFT(H30,4)</f>
        <v>IPCA</v>
      </c>
      <c r="L119" s="68">
        <f>SUMIF($D$10:$D$41,B119,$O$10:$O$41)</f>
        <v>0</v>
      </c>
    </row>
    <row r="120" spans="1:12" s="66" customFormat="1" ht="24">
      <c r="A120" s="22"/>
      <c r="B120" s="67" t="str">
        <f>D31</f>
        <v>21F0568989</v>
      </c>
      <c r="C120" s="67" t="str">
        <f>E31</f>
        <v>Pulverizado Ore</v>
      </c>
      <c r="D120" s="68">
        <f>SUMIF($D$10:$D$41,B120,$L$10:$L$41)</f>
        <v>1.4564848577213945E-2</v>
      </c>
      <c r="E120" s="68">
        <f>SUMIF($D$10:$D$41,B120,$M$10:$M$41)</f>
        <v>1.7546646000413699E-2</v>
      </c>
      <c r="F120" s="69" t="str">
        <f>VLOOKUP($B120,D31:G65,4,FALSE)</f>
        <v>Ore</v>
      </c>
      <c r="G120" s="69" t="str">
        <f>VLOOKUP($B120,D31:G65,3,FALSE)</f>
        <v>Residencial</v>
      </c>
      <c r="H120" s="69" t="str">
        <f>VLOOKUP($B120,$D$10:$P$41,13,FALSE)</f>
        <v>SP</v>
      </c>
      <c r="I120" s="70">
        <f>YEAR(VLOOKUP($B120,$D$10:$Q$41,14,FALSE))</f>
        <v>2036</v>
      </c>
      <c r="J120" s="69">
        <f ca="1">YEAR(VLOOKUP(B120,$D$10:N$41,11,FALSE)*365+TODAY())</f>
        <v>2029</v>
      </c>
      <c r="K120" s="69" t="str">
        <f>LEFT(H31,4)</f>
        <v>IPCA</v>
      </c>
      <c r="L120" s="68">
        <f>SUMIF($D$10:$D$41,B120,$O$10:$O$41)</f>
        <v>0.75</v>
      </c>
    </row>
    <row r="121" spans="1:12" s="66" customFormat="1" ht="24">
      <c r="A121" s="22"/>
      <c r="B121" s="67" t="str">
        <f>D32</f>
        <v>21L0354209</v>
      </c>
      <c r="C121" s="67" t="str">
        <f>E32</f>
        <v>Viracopos</v>
      </c>
      <c r="D121" s="68">
        <f>SUMIF($D$10:$D$41,B121,$L$10:$L$41)</f>
        <v>1.2440952197604223E-2</v>
      </c>
      <c r="E121" s="68">
        <f>SUMIF($D$10:$D$41,B121,$M$10:$M$41)</f>
        <v>1.4987933651500232E-2</v>
      </c>
      <c r="F121" s="69" t="str">
        <f>VLOOKUP($B121,D32:G66,4,FALSE)</f>
        <v>True</v>
      </c>
      <c r="G121" s="69" t="str">
        <f>VLOOKUP($B121,D32:G66,3,FALSE)</f>
        <v>Galpões Logísticos</v>
      </c>
      <c r="H121" s="69" t="str">
        <f>VLOOKUP($B121,$D$10:$P$41,13,FALSE)</f>
        <v>SP</v>
      </c>
      <c r="I121" s="70">
        <f>YEAR(VLOOKUP($B121,$D$10:$Q$41,14,FALSE))</f>
        <v>2031</v>
      </c>
      <c r="J121" s="69">
        <f ca="1">YEAR(VLOOKUP(B121,$D$10:N$41,11,FALSE)*365+TODAY())</f>
        <v>2029</v>
      </c>
      <c r="K121" s="69" t="str">
        <f>LEFT(H32,4)</f>
        <v>IPCA</v>
      </c>
      <c r="L121" s="68">
        <f>SUMIF($D$10:$D$41,B121,$O$10:$O$41)</f>
        <v>0.27</v>
      </c>
    </row>
    <row r="122" spans="1:12" s="66" customFormat="1" ht="24">
      <c r="A122" s="22"/>
      <c r="B122" s="67" t="str">
        <f>D33</f>
        <v>21D0402879</v>
      </c>
      <c r="C122" s="67" t="str">
        <f>E33</f>
        <v>Pontte</v>
      </c>
      <c r="D122" s="68">
        <f>SUMIF($D$10:$D$41,B122,$L$10:$L$41)</f>
        <v>9.9652872773708604E-3</v>
      </c>
      <c r="E122" s="68">
        <f>SUMIF($D$10:$D$41,B122,$M$10:$M$41)</f>
        <v>1.2005436734990126E-2</v>
      </c>
      <c r="F122" s="69" t="str">
        <f>VLOOKUP($B122,D33:G67,4,FALSE)</f>
        <v>True</v>
      </c>
      <c r="G122" s="69" t="str">
        <f>VLOOKUP($B122,D33:G67,3,FALSE)</f>
        <v>Home Equity</v>
      </c>
      <c r="H122" s="69" t="str">
        <f>VLOOKUP($B122,$D$10:$P$41,13,FALSE)</f>
        <v>-</v>
      </c>
      <c r="I122" s="70">
        <f>YEAR(VLOOKUP($B122,$D$10:$Q$41,14,FALSE))</f>
        <v>2036</v>
      </c>
      <c r="J122" s="69">
        <f ca="1">YEAR(VLOOKUP(B122,$D$10:N$41,11,FALSE)*365+TODAY())</f>
        <v>2030</v>
      </c>
      <c r="K122" s="69" t="str">
        <f>LEFT(H33,4)</f>
        <v>IPCA</v>
      </c>
      <c r="L122" s="68">
        <f>SUMIF($D$10:$D$41,B122,$O$10:$O$41)</f>
        <v>0.52580000000000005</v>
      </c>
    </row>
    <row r="123" spans="1:12" s="66" customFormat="1" ht="24">
      <c r="A123" s="22"/>
      <c r="B123" s="67" t="str">
        <f>D34</f>
        <v>21E0665350</v>
      </c>
      <c r="C123" s="67" t="str">
        <f>E34</f>
        <v>Solfarma</v>
      </c>
      <c r="D123" s="68">
        <f>SUMIF($D$10:$D$41,B123,$L$10:$L$41)</f>
        <v>6.546642591409124E-3</v>
      </c>
      <c r="E123" s="68">
        <f>SUMIF($D$10:$D$41,B123,$M$10:$M$41)</f>
        <v>7.886907950584424E-3</v>
      </c>
      <c r="F123" s="69" t="str">
        <f>VLOOKUP($B123,D34:G68,4,FALSE)</f>
        <v>Travessia</v>
      </c>
      <c r="G123" s="69" t="str">
        <f>VLOOKUP($B123,D34:G68,3,FALSE)</f>
        <v>Galpões Logísticos</v>
      </c>
      <c r="H123" s="69" t="str">
        <f>VLOOKUP($B123,$D$10:$P$41,13,FALSE)</f>
        <v>SP</v>
      </c>
      <c r="I123" s="70">
        <f>YEAR(VLOOKUP($B123,$D$10:$Q$41,14,FALSE))</f>
        <v>2026</v>
      </c>
      <c r="J123" s="69">
        <f ca="1">YEAR(VLOOKUP(B123,$D$10:N$41,11,FALSE)*365+TODAY())</f>
        <v>2026</v>
      </c>
      <c r="K123" s="69" t="str">
        <f>LEFT(H34,4)</f>
        <v>IPCA</v>
      </c>
      <c r="L123" s="68">
        <f>SUMIF($D$10:$D$41,B123,$O$10:$O$41)</f>
        <v>0.46200000000000002</v>
      </c>
    </row>
    <row r="124" spans="1:12" s="66" customFormat="1" ht="24">
      <c r="A124" s="22"/>
      <c r="B124" s="67" t="str">
        <f>D35</f>
        <v>21I0912120</v>
      </c>
      <c r="C124" s="67" t="str">
        <f>E35</f>
        <v>Minas Brisa</v>
      </c>
      <c r="D124" s="68">
        <f>SUMIF($D$10:$D$41,B124,$L$10:$L$41)</f>
        <v>1.295727866302639E-2</v>
      </c>
      <c r="E124" s="68">
        <f>SUMIF($D$10:$D$41,B124,$M$10:$M$41)</f>
        <v>1.5609965364454755E-2</v>
      </c>
      <c r="F124" s="69" t="str">
        <f>VLOOKUP($B124,D35:G69,4,FALSE)</f>
        <v>Ore</v>
      </c>
      <c r="G124" s="69" t="str">
        <f>VLOOKUP($B124,D35:G69,3,FALSE)</f>
        <v>Residencial</v>
      </c>
      <c r="H124" s="69" t="str">
        <f>VLOOKUP($B124,$D$10:$P$41,13,FALSE)</f>
        <v>MG</v>
      </c>
      <c r="I124" s="70">
        <f>YEAR(VLOOKUP($B124,$D$10:$Q$41,14,FALSE))</f>
        <v>2028</v>
      </c>
      <c r="J124" s="69">
        <f ca="1">YEAR(VLOOKUP(B124,$D$10:N$41,11,FALSE)*365+TODAY())</f>
        <v>2027</v>
      </c>
      <c r="K124" s="69" t="str">
        <f>LEFT(H35,4)</f>
        <v xml:space="preserve">CDI </v>
      </c>
      <c r="L124" s="68">
        <f>SUMIF($D$10:$D$41,B124,$O$10:$O$41)</f>
        <v>0.82452062911393531</v>
      </c>
    </row>
    <row r="125" spans="1:12" s="66" customFormat="1" ht="24">
      <c r="A125" s="22"/>
      <c r="B125" s="67" t="e">
        <f>#REF!</f>
        <v>#REF!</v>
      </c>
      <c r="C125" s="67" t="e">
        <f>#REF!</f>
        <v>#REF!</v>
      </c>
      <c r="D125" s="68">
        <f>SUMIF($D$10:$D$41,B125,$L$10:$L$41)</f>
        <v>0</v>
      </c>
      <c r="E125" s="68">
        <f>SUMIF($D$10:$D$41,B125,$M$10:$M$41)</f>
        <v>0</v>
      </c>
      <c r="F125" s="69" t="e">
        <f>VLOOKUP($B125,D36:G70,4,FALSE)</f>
        <v>#REF!</v>
      </c>
      <c r="G125" s="69" t="e">
        <f>VLOOKUP($B125,D36:G70,3,FALSE)</f>
        <v>#REF!</v>
      </c>
      <c r="H125" s="69" t="e">
        <f>VLOOKUP($B125,$D$10:$P$41,13,FALSE)</f>
        <v>#REF!</v>
      </c>
      <c r="I125" s="70" t="e">
        <f>YEAR(VLOOKUP($B125,$D$10:$Q$41,14,FALSE))</f>
        <v>#REF!</v>
      </c>
      <c r="J125" s="69" t="e">
        <f ca="1">YEAR(VLOOKUP(B125,$D$10:N$41,11,FALSE)*365+TODAY())</f>
        <v>#REF!</v>
      </c>
      <c r="K125" s="69" t="e">
        <f>LEFT(#REF!,4)</f>
        <v>#REF!</v>
      </c>
      <c r="L125" s="68">
        <f>SUMIF($D$10:$D$41,B125,$O$10:$O$41)</f>
        <v>0</v>
      </c>
    </row>
    <row r="126" spans="1:12" s="66" customFormat="1" ht="24">
      <c r="A126" s="22"/>
      <c r="B126" s="67" t="str">
        <f t="shared" ref="B126:C126" si="1">D36</f>
        <v>23G0006401</v>
      </c>
      <c r="C126" s="67" t="str">
        <f t="shared" si="1"/>
        <v>Habitat</v>
      </c>
      <c r="D126" s="68">
        <f>SUMIF($D$10:$D$41,B126,$L$10:$L$41)</f>
        <v>8.8390710296812457E-3</v>
      </c>
      <c r="E126" s="68">
        <f>SUMIF($D$10:$D$41,B126,$M$10:$M$41)</f>
        <v>1.0648655185675591E-2</v>
      </c>
      <c r="F126" s="69" t="str">
        <f>VLOOKUP($B126,D36:G71,4,FALSE)</f>
        <v>True</v>
      </c>
      <c r="G126" s="69" t="str">
        <f>VLOOKUP($B126,D36:G71,3,FALSE)</f>
        <v>Residencial</v>
      </c>
      <c r="H126" s="69" t="str">
        <f>VLOOKUP($B126,$D$10:$P$41,13,FALSE)</f>
        <v>GO</v>
      </c>
      <c r="I126" s="70">
        <f>YEAR(VLOOKUP($B126,$D$10:$Q$41,14,FALSE))</f>
        <v>2033</v>
      </c>
      <c r="J126" s="69">
        <f ca="1">YEAR(VLOOKUP(B126,$D$10:N$41,11,FALSE)*365+TODAY())</f>
        <v>2031</v>
      </c>
      <c r="K126" s="69" t="str">
        <f>LEFT(H36,4)</f>
        <v>IPCA</v>
      </c>
      <c r="L126" s="68">
        <f>SUMIF($D$10:$D$41,B126,$O$10:$O$41)</f>
        <v>0.42</v>
      </c>
    </row>
    <row r="127" spans="1:12" s="66" customFormat="1" ht="24">
      <c r="A127" s="22"/>
      <c r="B127" s="67" t="str">
        <f t="shared" ref="B127:C127" si="2">D37</f>
        <v>20J0837185</v>
      </c>
      <c r="C127" s="67" t="str">
        <f t="shared" si="2"/>
        <v>Creditas</v>
      </c>
      <c r="D127" s="68">
        <f>SUMIF($D$10:$D$41,B127,$L$10:$L$41)</f>
        <v>6.8716182077792334E-3</v>
      </c>
      <c r="E127" s="68">
        <f>SUMIF($D$10:$D$41,B127,$M$10:$M$41)</f>
        <v>8.278414396324851E-3</v>
      </c>
      <c r="F127" s="69" t="str">
        <f>VLOOKUP($B127,D37:G72,4,FALSE)</f>
        <v>Vert</v>
      </c>
      <c r="G127" s="69" t="str">
        <f>VLOOKUP($B127,D37:G72,3,FALSE)</f>
        <v>Home Equity</v>
      </c>
      <c r="H127" s="69" t="str">
        <f>VLOOKUP($B127,$D$10:$P$41,13,FALSE)</f>
        <v>-</v>
      </c>
      <c r="I127" s="70">
        <f>YEAR(VLOOKUP($B127,$D$10:$Q$41,14,FALSE))</f>
        <v>2040</v>
      </c>
      <c r="J127" s="69">
        <f ca="1">YEAR(VLOOKUP(B127,$D$10:N$41,11,FALSE)*365+TODAY())</f>
        <v>2032</v>
      </c>
      <c r="K127" s="69" t="str">
        <f>LEFT(H37,4)</f>
        <v>IPCA</v>
      </c>
      <c r="L127" s="68">
        <f>SUMIF($D$10:$D$41,B127,$O$10:$O$41)</f>
        <v>0.35580000000000001</v>
      </c>
    </row>
    <row r="128" spans="1:12" s="66" customFormat="1" ht="36">
      <c r="A128" s="22"/>
      <c r="B128" s="67" t="str">
        <f t="shared" ref="B128:C128" si="3">D38</f>
        <v>23D1293668</v>
      </c>
      <c r="C128" s="67" t="str">
        <f t="shared" si="3"/>
        <v>MS Incorporadora</v>
      </c>
      <c r="D128" s="68">
        <f>SUMIF($D$10:$D$41,B128,$L$10:$L$41)</f>
        <v>6.4182402665849195E-3</v>
      </c>
      <c r="E128" s="68">
        <f>SUMIF($D$10:$D$41,B128,$M$10:$M$41)</f>
        <v>7.732218382246225E-3</v>
      </c>
      <c r="F128" s="69" t="str">
        <f>VLOOKUP($B128,D38:G73,4,FALSE)</f>
        <v>Canal</v>
      </c>
      <c r="G128" s="69" t="str">
        <f>VLOOKUP($B128,D38:G73,3,FALSE)</f>
        <v>Residencial</v>
      </c>
      <c r="H128" s="69" t="str">
        <f>VLOOKUP($B128,$D$10:$P$41,13,FALSE)</f>
        <v>SC</v>
      </c>
      <c r="I128" s="70">
        <f>YEAR(VLOOKUP($B128,$D$10:$Q$41,14,FALSE))</f>
        <v>2028</v>
      </c>
      <c r="J128" s="69">
        <f ca="1">YEAR(VLOOKUP(B128,$D$10:N$41,11,FALSE)*365+TODAY())</f>
        <v>2029</v>
      </c>
      <c r="K128" s="69" t="str">
        <f>LEFT(H38,4)</f>
        <v>IPCA</v>
      </c>
      <c r="L128" s="68">
        <f>SUMIF($D$10:$D$41,B128,$O$10:$O$41)</f>
        <v>0.42</v>
      </c>
    </row>
    <row r="129" spans="1:20" s="66" customFormat="1" ht="24">
      <c r="A129" s="22"/>
      <c r="B129" s="67" t="str">
        <f t="shared" ref="B129:C129" si="4">D39</f>
        <v>23B0493519</v>
      </c>
      <c r="C129" s="67" t="str">
        <f t="shared" si="4"/>
        <v>ForGreen</v>
      </c>
      <c r="D129" s="68">
        <f>SUMIF($D$10:$D$41,B129,$L$10:$L$41)</f>
        <v>1.1539105121749409E-3</v>
      </c>
      <c r="E129" s="68">
        <f>SUMIF($D$10:$D$41,B129,$M$10:$M$41)</f>
        <v>1.3901455388259708E-3</v>
      </c>
      <c r="F129" s="69" t="str">
        <f>VLOOKUP($B129,D39:G74,4,FALSE)</f>
        <v>Canal</v>
      </c>
      <c r="G129" s="69" t="str">
        <f>VLOOKUP($B129,D39:G74,3,FALSE)</f>
        <v>Energia</v>
      </c>
      <c r="H129" s="69" t="str">
        <f>VLOOKUP($B129,$D$10:$P$41,13,FALSE)</f>
        <v>MG</v>
      </c>
      <c r="I129" s="70">
        <f>YEAR(VLOOKUP($B129,$D$10:$Q$41,14,FALSE))</f>
        <v>2033</v>
      </c>
      <c r="J129" s="69">
        <f ca="1">YEAR(VLOOKUP(B129,$D$10:N$41,11,FALSE)*365+TODAY())</f>
        <v>2029</v>
      </c>
      <c r="K129" s="69" t="str">
        <f>LEFT(H39,4)</f>
        <v>IPCA</v>
      </c>
      <c r="L129" s="68">
        <f>SUMIF($D$10:$D$41,B129,$O$10:$O$41)</f>
        <v>0</v>
      </c>
    </row>
    <row r="130" spans="1:20" s="66" customFormat="1" ht="24">
      <c r="A130" s="22"/>
      <c r="B130" s="67" t="str">
        <f t="shared" ref="B130:C130" si="5">D40</f>
        <v>21L0355069</v>
      </c>
      <c r="C130" s="67" t="str">
        <f t="shared" si="5"/>
        <v>Viracopos</v>
      </c>
      <c r="D130" s="68">
        <f>SUMIF($D$10:$D$41,B130,$L$10:$L$41)</f>
        <v>4.1187286113760907E-3</v>
      </c>
      <c r="E130" s="68">
        <f>SUMIF($D$10:$D$41,B130,$M$10:$M$41)</f>
        <v>4.9619378143522033E-3</v>
      </c>
      <c r="F130" s="69" t="str">
        <f>VLOOKUP($B130,D40:G75,4,FALSE)</f>
        <v>True</v>
      </c>
      <c r="G130" s="69" t="str">
        <f>VLOOKUP($B130,D40:G75,3,FALSE)</f>
        <v>Galpões Logísticos</v>
      </c>
      <c r="H130" s="69" t="str">
        <f>VLOOKUP($B130,$D$10:$P$41,13,FALSE)</f>
        <v>SP</v>
      </c>
      <c r="I130" s="70">
        <f>YEAR(VLOOKUP($B130,$D$10:$Q$41,14,FALSE))</f>
        <v>2031</v>
      </c>
      <c r="J130" s="69">
        <f ca="1">YEAR(VLOOKUP(B130,$D$10:N$41,11,FALSE)*365+TODAY())</f>
        <v>2029</v>
      </c>
      <c r="K130" s="69" t="str">
        <f>LEFT(H40,4)</f>
        <v>IPCA</v>
      </c>
      <c r="L130" s="68">
        <f>SUMIF($D$10:$D$41,B130,$O$10:$O$41)</f>
        <v>0.27</v>
      </c>
    </row>
    <row r="131" spans="1:20" s="66" customFormat="1" ht="24">
      <c r="A131" s="22"/>
      <c r="B131" s="67" t="str">
        <f t="shared" ref="B131:C131" si="6">D41</f>
        <v>25F8582172</v>
      </c>
      <c r="C131" s="67" t="str">
        <f t="shared" si="6"/>
        <v>DUE III</v>
      </c>
      <c r="D131" s="68">
        <f>SUMIF($D$10:$D$41,B131,$L$10:$L$41)</f>
        <v>3.9422941620571111E-2</v>
      </c>
      <c r="E131" s="68">
        <f>SUMIF($D$10:$D$41,B131,$M$10:$M$41)</f>
        <v>4.7493827158171339E-2</v>
      </c>
      <c r="F131" s="69" t="str">
        <f>VLOOKUP($B131,D41:G76,4,FALSE)</f>
        <v>Canal</v>
      </c>
      <c r="G131" s="69" t="str">
        <f>VLOOKUP($B131,D41:G76,3,FALSE)</f>
        <v>Residencial</v>
      </c>
      <c r="H131" s="69" t="str">
        <f>VLOOKUP($B131,$D$10:$P$41,13,FALSE)</f>
        <v>PE</v>
      </c>
      <c r="I131" s="70">
        <f>YEAR(VLOOKUP($B131,$D$10:$Q$41,14,FALSE))</f>
        <v>2030</v>
      </c>
      <c r="J131" s="69">
        <f ca="1">YEAR(VLOOKUP(B131,$D$10:N$41,11,FALSE)*365+TODAY())</f>
        <v>2029</v>
      </c>
      <c r="K131" s="69" t="str">
        <f>LEFT(H41,4)</f>
        <v xml:space="preserve">CDI </v>
      </c>
      <c r="L131" s="68">
        <f>SUMIF($D$10:$D$41,B131,$O$10:$O$41)</f>
        <v>0.66225165562913912</v>
      </c>
    </row>
    <row r="132" spans="1:20" s="22" customFormat="1"/>
    <row r="133" spans="1:20" s="22" customFormat="1"/>
    <row r="134" spans="1:20" s="22" customFormat="1" ht="34.5">
      <c r="B134" s="71" t="s">
        <v>53</v>
      </c>
      <c r="C134" s="71" t="s">
        <v>52</v>
      </c>
      <c r="D134" s="71" t="s">
        <v>51</v>
      </c>
      <c r="H134" s="71" t="s">
        <v>50</v>
      </c>
      <c r="K134" s="71" t="s">
        <v>49</v>
      </c>
      <c r="N134" s="71" t="s">
        <v>48</v>
      </c>
      <c r="Q134" s="71" t="s">
        <v>47</v>
      </c>
      <c r="R134" s="71"/>
      <c r="S134" s="71"/>
    </row>
    <row r="135" spans="1:20" s="22" customFormat="1" ht="17.25">
      <c r="B135" s="71">
        <v>2025</v>
      </c>
      <c r="C135" s="72">
        <f t="shared" ref="C135:C142" si="7">COUNTIF($I$97:$I$131,B135)/34</f>
        <v>0</v>
      </c>
      <c r="D135" s="72">
        <f t="shared" ref="D135:D143" ca="1" si="8">COUNTIF($J$97:$J$131,B135)/32</f>
        <v>0</v>
      </c>
      <c r="F135" s="22" t="e" vm="1">
        <v>#VALUE!</v>
      </c>
      <c r="G135" s="69" t="s">
        <v>46</v>
      </c>
      <c r="H135" s="72">
        <f>SUMIFS($E$97:$E$131,$H$97:$H$131,G135)</f>
        <v>0.23881863653049423</v>
      </c>
      <c r="J135" s="69" t="s">
        <v>45</v>
      </c>
      <c r="K135" s="72">
        <f>SUMIFS($E$97:$E$131,$K$97:$K$131,$J135)</f>
        <v>0.77277666337146222</v>
      </c>
      <c r="M135" s="69" t="s">
        <v>44</v>
      </c>
      <c r="N135" s="72">
        <f t="shared" ref="N135:N142" si="9">SUMIFS($E$97:$E$131,$G$97:$G$131,M135)</f>
        <v>0.26833405864437221</v>
      </c>
      <c r="P135" s="69" t="s">
        <v>43</v>
      </c>
      <c r="Q135" s="73">
        <f>SUMIFS($E$97:$E$131,$L$97:$L$131,"&gt;="&amp;S135,$L$97:$L$131,"&lt;="&amp;T135)</f>
        <v>0.14051088571447221</v>
      </c>
      <c r="R135" s="73"/>
      <c r="S135" s="73">
        <v>0</v>
      </c>
      <c r="T135" s="22">
        <v>0.25</v>
      </c>
    </row>
    <row r="136" spans="1:20" s="22" customFormat="1" ht="17.25">
      <c r="B136" s="70">
        <v>2026</v>
      </c>
      <c r="C136" s="72">
        <f t="shared" si="7"/>
        <v>8.8235294117647065E-2</v>
      </c>
      <c r="D136" s="72">
        <f t="shared" ca="1" si="8"/>
        <v>3.125E-2</v>
      </c>
      <c r="E136" s="69" t="s">
        <v>42</v>
      </c>
      <c r="F136" s="22" t="s">
        <v>41</v>
      </c>
      <c r="G136" s="69" t="s">
        <v>41</v>
      </c>
      <c r="H136" s="72">
        <f>SUMIFS($E$97:$E$131,$H$97:$H$131,E136)</f>
        <v>9.5774929790313462E-2</v>
      </c>
      <c r="I136" s="69"/>
      <c r="J136" s="69" t="s">
        <v>40</v>
      </c>
      <c r="K136" s="72">
        <f>SUMIFS($E$97:$E$131,$K$97:$K$131,$J136)</f>
        <v>0.10370103948293835</v>
      </c>
      <c r="L136" s="69"/>
      <c r="M136" s="69" t="s">
        <v>33</v>
      </c>
      <c r="N136" s="72">
        <f t="shared" si="9"/>
        <v>0.20010729612242423</v>
      </c>
      <c r="O136" s="69"/>
      <c r="P136" s="69" t="s">
        <v>38</v>
      </c>
      <c r="Q136" s="73">
        <f>SUMIFS($E$97:$E$131,$L$97:$L$131,"&gt;="&amp;S136,$L$97:$L$131,"&lt;="&amp;T136)</f>
        <v>0.37702782376098443</v>
      </c>
      <c r="R136" s="73"/>
      <c r="S136" s="73">
        <v>0.25001000000000001</v>
      </c>
      <c r="T136" s="22">
        <v>0.5</v>
      </c>
    </row>
    <row r="137" spans="1:20" s="22" customFormat="1" ht="17.25">
      <c r="B137" s="70">
        <v>2027</v>
      </c>
      <c r="C137" s="72">
        <f t="shared" si="7"/>
        <v>5.8823529411764705E-2</v>
      </c>
      <c r="D137" s="72">
        <f t="shared" ca="1" si="8"/>
        <v>0.125</v>
      </c>
      <c r="E137" s="69"/>
      <c r="F137" s="22" t="e" vm="2">
        <v>#VALUE!</v>
      </c>
      <c r="G137" s="69" t="s">
        <v>37</v>
      </c>
      <c r="H137" s="72">
        <f t="shared" ref="H137:H145" si="10">SUMIFS($E$97:$E$131,$H$97:$H$131,G137)</f>
        <v>0.20591448588102676</v>
      </c>
      <c r="I137" s="69"/>
      <c r="J137" s="69" t="s">
        <v>208</v>
      </c>
      <c r="K137" s="72">
        <f>SUMIFS($E$97:$E$131,$K$97:$K$131,$J137)</f>
        <v>2.9493862707826855E-2</v>
      </c>
      <c r="L137" s="69"/>
      <c r="M137" s="69" t="s">
        <v>39</v>
      </c>
      <c r="N137" s="72">
        <f t="shared" si="9"/>
        <v>0.13517504432468649</v>
      </c>
      <c r="O137" s="69"/>
      <c r="P137" s="69" t="s">
        <v>35</v>
      </c>
      <c r="Q137" s="73">
        <f>SUMIFS($E$97:$E$131,$L$97:$L$131,"&gt;="&amp;S137,$L$97:$L$131,"&lt;="&amp;T137)</f>
        <v>0.34459140749183581</v>
      </c>
      <c r="R137" s="73"/>
      <c r="S137" s="73">
        <v>0.50000999999999995</v>
      </c>
      <c r="T137" s="22">
        <v>0.75</v>
      </c>
    </row>
    <row r="138" spans="1:20" s="22" customFormat="1" ht="17.25">
      <c r="B138" s="70">
        <v>2028</v>
      </c>
      <c r="C138" s="72">
        <f t="shared" si="7"/>
        <v>8.8235294117647065E-2</v>
      </c>
      <c r="D138" s="72">
        <f t="shared" ca="1" si="8"/>
        <v>0.21875</v>
      </c>
      <c r="E138" s="69"/>
      <c r="F138" s="22" t="e" vm="3">
        <v>#VALUE!</v>
      </c>
      <c r="G138" s="69" t="s">
        <v>34</v>
      </c>
      <c r="H138" s="72">
        <f t="shared" si="10"/>
        <v>9.6143151479908068E-2</v>
      </c>
      <c r="I138" s="69"/>
      <c r="J138" s="69"/>
      <c r="K138" s="69"/>
      <c r="L138" s="69"/>
      <c r="M138" s="69" t="s">
        <v>36</v>
      </c>
      <c r="N138" s="72">
        <f t="shared" si="9"/>
        <v>0.12424951804072697</v>
      </c>
      <c r="O138" s="69"/>
      <c r="P138" s="69" t="s">
        <v>32</v>
      </c>
      <c r="Q138" s="73">
        <f>SUMIFS($E$97:$E$131,$L$97:$L$131,"&gt;="&amp;S138,$L$97:$L$131,"&lt;="&amp;T138)</f>
        <v>4.384144859493519E-2</v>
      </c>
      <c r="R138" s="73"/>
      <c r="S138" s="73">
        <v>0.75000100000000003</v>
      </c>
      <c r="T138" s="22">
        <v>1</v>
      </c>
    </row>
    <row r="139" spans="1:20" s="22" customFormat="1" ht="17.25">
      <c r="B139" s="70">
        <v>2029</v>
      </c>
      <c r="C139" s="72">
        <f t="shared" si="7"/>
        <v>0</v>
      </c>
      <c r="D139" s="72">
        <f t="shared" ca="1" si="8"/>
        <v>0.375</v>
      </c>
      <c r="E139" s="69"/>
      <c r="F139" s="22" t="e" vm="4">
        <v>#VALUE!</v>
      </c>
      <c r="G139" s="69" t="s">
        <v>31</v>
      </c>
      <c r="H139" s="72">
        <f t="shared" si="10"/>
        <v>2.6328014427574375E-2</v>
      </c>
      <c r="I139" s="69"/>
      <c r="J139" s="69"/>
      <c r="K139" s="69"/>
      <c r="L139" s="69"/>
      <c r="M139" s="69" t="s">
        <v>30</v>
      </c>
      <c r="N139" s="72">
        <f t="shared" si="9"/>
        <v>6.6669722080107963E-2</v>
      </c>
      <c r="O139" s="69"/>
      <c r="P139" s="69"/>
      <c r="Q139" s="69"/>
      <c r="R139" s="69"/>
      <c r="S139" s="69"/>
    </row>
    <row r="140" spans="1:20" s="22" customFormat="1" ht="17.25">
      <c r="B140" s="70">
        <v>2030</v>
      </c>
      <c r="C140" s="72">
        <f t="shared" si="7"/>
        <v>5.8823529411764705E-2</v>
      </c>
      <c r="D140" s="72">
        <f t="shared" ca="1" si="8"/>
        <v>6.25E-2</v>
      </c>
      <c r="E140" s="69"/>
      <c r="F140" s="22" t="e" vm="5">
        <v>#VALUE!</v>
      </c>
      <c r="G140" s="69" t="s">
        <v>29</v>
      </c>
      <c r="H140" s="72">
        <f t="shared" si="10"/>
        <v>2.9493862707826855E-2</v>
      </c>
      <c r="I140" s="69"/>
      <c r="J140" s="69"/>
      <c r="K140" s="69"/>
      <c r="L140" s="69"/>
      <c r="M140" s="69" t="s">
        <v>27</v>
      </c>
      <c r="N140" s="72">
        <f t="shared" si="9"/>
        <v>4.7208449380223887E-2</v>
      </c>
      <c r="O140" s="69"/>
      <c r="P140" s="69"/>
      <c r="Q140" s="69"/>
      <c r="R140" s="69"/>
      <c r="S140" s="69"/>
    </row>
    <row r="141" spans="1:20" s="22" customFormat="1" ht="17.25">
      <c r="B141" s="70">
        <v>2031</v>
      </c>
      <c r="C141" s="72">
        <f t="shared" si="7"/>
        <v>0.14705882352941177</v>
      </c>
      <c r="D141" s="72">
        <f t="shared" ca="1" si="8"/>
        <v>6.25E-2</v>
      </c>
      <c r="E141" s="69"/>
      <c r="F141" s="22" t="e" vm="6">
        <v>#VALUE!</v>
      </c>
      <c r="G141" s="69" t="s">
        <v>28</v>
      </c>
      <c r="H141" s="72">
        <f t="shared" si="10"/>
        <v>7.581282728961633E-2</v>
      </c>
      <c r="I141" s="69"/>
      <c r="J141" s="69"/>
      <c r="K141" s="69"/>
      <c r="L141" s="69"/>
      <c r="M141" s="69" t="s">
        <v>25</v>
      </c>
      <c r="N141" s="72">
        <f t="shared" si="9"/>
        <v>2.0283851131314978E-2</v>
      </c>
      <c r="O141" s="69"/>
      <c r="P141" s="69"/>
      <c r="Q141" s="69"/>
      <c r="R141" s="69"/>
      <c r="S141" s="69"/>
    </row>
    <row r="142" spans="1:20" s="22" customFormat="1" ht="17.25">
      <c r="B142" s="70">
        <v>2032</v>
      </c>
      <c r="C142" s="72">
        <f t="shared" si="7"/>
        <v>8.8235294117647065E-2</v>
      </c>
      <c r="D142" s="72">
        <f t="shared" ca="1" si="8"/>
        <v>0.125</v>
      </c>
      <c r="E142" s="69"/>
      <c r="F142" s="22" t="e" vm="7">
        <v>#VALUE!</v>
      </c>
      <c r="G142" s="69" t="s">
        <v>26</v>
      </c>
      <c r="H142" s="72">
        <f t="shared" si="10"/>
        <v>3.31297330958054E-2</v>
      </c>
      <c r="I142" s="69"/>
      <c r="J142" s="69"/>
      <c r="K142" s="69"/>
      <c r="L142" s="69"/>
      <c r="M142" s="69" t="s">
        <v>21</v>
      </c>
      <c r="N142" s="72">
        <f t="shared" si="9"/>
        <v>4.3943625838370901E-2</v>
      </c>
      <c r="O142" s="69"/>
      <c r="P142" s="69"/>
      <c r="Q142" s="69"/>
      <c r="R142" s="69"/>
      <c r="S142" s="69"/>
    </row>
    <row r="143" spans="1:20" s="22" customFormat="1" ht="17.25">
      <c r="B143" s="70" t="s">
        <v>24</v>
      </c>
      <c r="C143" s="72">
        <f>COUNTIF($I$97:$I$131,"&gt;"&amp;B142)/34</f>
        <v>0.41176470588235292</v>
      </c>
      <c r="D143" s="72">
        <f t="shared" ca="1" si="8"/>
        <v>0</v>
      </c>
      <c r="E143" s="69"/>
      <c r="F143" s="22" t="e" vm="8">
        <v>#VALUE!</v>
      </c>
      <c r="G143" s="69" t="s">
        <v>23</v>
      </c>
      <c r="H143" s="72">
        <f t="shared" si="10"/>
        <v>2.8830613971010291E-2</v>
      </c>
      <c r="I143" s="69"/>
      <c r="J143" s="69"/>
      <c r="K143" s="69"/>
      <c r="L143" s="69"/>
      <c r="M143" s="69"/>
      <c r="N143" s="72"/>
      <c r="O143" s="69"/>
      <c r="P143" s="69"/>
      <c r="Q143" s="69"/>
      <c r="R143" s="69"/>
      <c r="S143" s="69"/>
    </row>
    <row r="144" spans="1:20" s="22" customFormat="1" ht="17.25">
      <c r="B144" s="69"/>
      <c r="C144" s="69"/>
      <c r="D144" s="69"/>
      <c r="E144" s="69"/>
      <c r="F144" s="22" t="e" vm="9">
        <v>#VALUE!</v>
      </c>
      <c r="G144" s="69" t="s">
        <v>22</v>
      </c>
      <c r="H144" s="72">
        <f t="shared" si="10"/>
        <v>2.8231483230480435E-2</v>
      </c>
      <c r="I144" s="69"/>
      <c r="J144" s="69"/>
      <c r="K144" s="69"/>
      <c r="L144" s="69"/>
      <c r="O144" s="69"/>
      <c r="P144" s="69"/>
      <c r="Q144" s="69"/>
      <c r="R144" s="69"/>
      <c r="S144" s="69"/>
    </row>
    <row r="145" spans="1:19" s="22" customFormat="1" ht="17.25">
      <c r="B145" s="69"/>
      <c r="C145" s="69"/>
      <c r="D145" s="69"/>
      <c r="E145" s="69"/>
      <c r="F145" s="22" t="e" vm="10">
        <v>#VALUE!</v>
      </c>
      <c r="G145" s="69" t="s">
        <v>20</v>
      </c>
      <c r="H145" s="72">
        <f t="shared" si="10"/>
        <v>4.7493827158171339E-2</v>
      </c>
      <c r="I145" s="69"/>
      <c r="J145" s="69"/>
      <c r="K145" s="69"/>
      <c r="L145" s="69"/>
      <c r="O145" s="69"/>
      <c r="P145" s="69"/>
      <c r="Q145" s="69"/>
      <c r="R145" s="69"/>
      <c r="S145" s="69"/>
    </row>
    <row r="146" spans="1:19" s="22" customFormat="1" ht="16.5">
      <c r="B146" s="69"/>
      <c r="C146" s="69"/>
      <c r="D146" s="69"/>
      <c r="H146" s="69"/>
      <c r="I146" s="69"/>
      <c r="J146" s="69"/>
      <c r="K146" s="69"/>
      <c r="O146" s="69"/>
      <c r="P146" s="69"/>
    </row>
    <row r="147" spans="1:19" s="22" customFormat="1" ht="16.5">
      <c r="B147" s="69"/>
      <c r="C147" s="69"/>
      <c r="D147" s="69"/>
      <c r="E147" s="69"/>
      <c r="G147" s="69"/>
      <c r="H147" s="69"/>
      <c r="I147" s="69"/>
      <c r="J147" s="69"/>
      <c r="K147" s="69"/>
      <c r="M147" s="69"/>
      <c r="N147" s="69"/>
      <c r="O147" s="69"/>
      <c r="P147" s="69"/>
    </row>
    <row r="148" spans="1:19" s="48" customFormat="1" ht="16.5">
      <c r="B148" s="49"/>
      <c r="C148" s="49"/>
      <c r="D148" s="49"/>
      <c r="E148" s="49"/>
      <c r="G148" s="49"/>
      <c r="H148" s="49"/>
      <c r="I148" s="49"/>
      <c r="J148" s="49"/>
      <c r="K148" s="49"/>
      <c r="M148" s="49"/>
      <c r="N148" s="49"/>
      <c r="O148" s="49"/>
      <c r="P148" s="49"/>
    </row>
    <row r="149" spans="1:19" s="48" customFormat="1" ht="16.5">
      <c r="B149" s="49"/>
      <c r="C149" s="49"/>
      <c r="D149" s="49"/>
      <c r="E149" s="49"/>
      <c r="G149" s="49"/>
      <c r="H149" s="49"/>
      <c r="I149" s="49"/>
      <c r="J149" s="49"/>
      <c r="K149" s="49"/>
      <c r="M149" s="49"/>
      <c r="N149" s="49"/>
      <c r="O149" s="49"/>
      <c r="P149" s="49"/>
    </row>
    <row r="150" spans="1:19" s="48" customFormat="1" ht="16.5">
      <c r="B150" s="49"/>
      <c r="C150" s="49"/>
      <c r="D150" s="49"/>
      <c r="E150" s="49"/>
      <c r="G150" s="49"/>
      <c r="H150" s="49"/>
      <c r="I150" s="49"/>
      <c r="J150" s="49"/>
      <c r="K150" s="49"/>
      <c r="M150" s="49"/>
      <c r="N150" s="49"/>
      <c r="O150" s="49"/>
      <c r="P150" s="49"/>
    </row>
    <row r="151" spans="1:19" s="48" customFormat="1" ht="16.5">
      <c r="B151" s="49"/>
      <c r="C151" s="49"/>
      <c r="D151" s="49"/>
      <c r="E151" s="49"/>
      <c r="G151" s="49"/>
      <c r="H151" s="49"/>
      <c r="I151" s="49"/>
      <c r="J151" s="49"/>
      <c r="K151" s="49"/>
      <c r="M151" s="49"/>
      <c r="N151" s="49"/>
      <c r="O151" s="49"/>
      <c r="P151" s="49"/>
    </row>
    <row r="152" spans="1:19" s="48" customFormat="1" ht="16.5">
      <c r="B152" s="49"/>
      <c r="C152" s="49"/>
      <c r="D152" s="49"/>
      <c r="E152" s="49"/>
      <c r="G152" s="49"/>
      <c r="H152" s="49"/>
      <c r="I152" s="49"/>
      <c r="J152" s="49"/>
      <c r="K152" s="49"/>
      <c r="M152" s="49"/>
      <c r="N152" s="49"/>
      <c r="O152" s="49"/>
      <c r="P152" s="49"/>
    </row>
    <row r="153" spans="1:19" s="48" customFormat="1" ht="16.5">
      <c r="B153" s="49"/>
      <c r="C153" s="49"/>
      <c r="D153" s="49"/>
      <c r="E153" s="49"/>
      <c r="G153" s="49"/>
      <c r="H153" s="49"/>
      <c r="I153" s="49"/>
      <c r="J153" s="49"/>
      <c r="K153" s="49"/>
      <c r="M153" s="49"/>
      <c r="N153" s="49"/>
      <c r="O153" s="49"/>
      <c r="P153" s="49"/>
    </row>
    <row r="154" spans="1:19" s="48" customFormat="1" ht="16.5">
      <c r="B154" s="49"/>
      <c r="C154" s="49"/>
      <c r="D154" s="49"/>
      <c r="E154" s="49"/>
      <c r="G154" s="49"/>
      <c r="H154" s="49"/>
      <c r="I154" s="49"/>
      <c r="J154" s="49"/>
      <c r="K154" s="49"/>
      <c r="M154" s="49"/>
      <c r="N154" s="49"/>
      <c r="O154" s="49"/>
      <c r="P154" s="49"/>
    </row>
    <row r="155" spans="1:19" s="46" customFormat="1" ht="16.5">
      <c r="A155" s="48"/>
      <c r="B155" s="49"/>
      <c r="C155" s="49"/>
      <c r="D155" s="49"/>
      <c r="E155" s="49"/>
      <c r="F155" s="48"/>
      <c r="G155" s="49"/>
      <c r="H155" s="49"/>
      <c r="I155" s="49"/>
      <c r="J155" s="49"/>
      <c r="K155" s="49"/>
      <c r="L155" s="48"/>
      <c r="M155" s="49"/>
      <c r="N155" s="49"/>
      <c r="O155" s="49"/>
      <c r="P155" s="49"/>
      <c r="Q155" s="48"/>
      <c r="R155" s="48"/>
    </row>
    <row r="156" spans="1:19" s="46" customFormat="1" ht="16.5">
      <c r="A156" s="48"/>
      <c r="B156" s="49"/>
      <c r="C156" s="49"/>
      <c r="D156" s="49"/>
      <c r="E156" s="49"/>
      <c r="F156" s="48"/>
      <c r="G156" s="49"/>
      <c r="H156" s="49"/>
      <c r="I156" s="49"/>
      <c r="J156" s="49"/>
      <c r="K156" s="49"/>
      <c r="L156" s="48"/>
      <c r="M156" s="49"/>
      <c r="N156" s="49"/>
      <c r="O156" s="49"/>
      <c r="P156" s="49"/>
      <c r="Q156" s="48"/>
      <c r="R156" s="48"/>
    </row>
    <row r="157" spans="1:19" s="46" customFormat="1" ht="15" customHeight="1">
      <c r="A157" s="48"/>
      <c r="B157" s="48"/>
      <c r="C157" s="48"/>
      <c r="D157" s="48"/>
      <c r="E157" s="48"/>
      <c r="F157" s="48"/>
      <c r="G157" s="48"/>
      <c r="H157" s="48"/>
      <c r="I157" s="48"/>
      <c r="J157" s="48"/>
      <c r="K157" s="48"/>
      <c r="L157" s="48"/>
      <c r="M157" s="48"/>
      <c r="N157" s="48"/>
      <c r="O157" s="48"/>
      <c r="P157" s="48"/>
      <c r="Q157" s="48"/>
      <c r="R157" s="48"/>
    </row>
    <row r="158" spans="1:19" s="46" customFormat="1">
      <c r="A158" s="48"/>
      <c r="B158" s="48"/>
      <c r="C158" s="48"/>
      <c r="D158" s="48"/>
      <c r="E158" s="48"/>
      <c r="F158" s="48"/>
      <c r="G158" s="48"/>
      <c r="H158" s="48"/>
      <c r="I158" s="48"/>
      <c r="J158" s="48"/>
      <c r="K158" s="48"/>
      <c r="L158" s="48"/>
      <c r="M158" s="48"/>
      <c r="N158" s="48"/>
      <c r="O158" s="48"/>
      <c r="P158" s="48"/>
      <c r="Q158" s="48"/>
      <c r="R158" s="48"/>
    </row>
    <row r="159" spans="1:19" s="46" customFormat="1">
      <c r="A159" s="48"/>
      <c r="B159" s="48"/>
      <c r="C159" s="48"/>
      <c r="D159" s="48"/>
      <c r="E159" s="48"/>
      <c r="F159" s="48"/>
      <c r="G159" s="48"/>
      <c r="H159" s="48"/>
      <c r="I159" s="48"/>
      <c r="J159" s="48"/>
      <c r="K159" s="48"/>
      <c r="L159" s="48"/>
      <c r="M159" s="48"/>
      <c r="N159" s="48"/>
      <c r="O159" s="48"/>
      <c r="P159" s="48"/>
      <c r="Q159" s="48"/>
      <c r="R159" s="48"/>
    </row>
    <row r="160" spans="1:19" s="46" customFormat="1">
      <c r="A160" s="48"/>
      <c r="B160" s="48"/>
      <c r="C160" s="48"/>
      <c r="D160" s="48"/>
      <c r="E160" s="48"/>
      <c r="F160" s="48"/>
      <c r="G160" s="48"/>
      <c r="H160" s="48"/>
      <c r="I160" s="48"/>
      <c r="J160" s="48"/>
      <c r="K160" s="48"/>
      <c r="L160" s="48"/>
      <c r="M160" s="48"/>
      <c r="N160" s="48"/>
      <c r="O160" s="48"/>
      <c r="P160" s="48"/>
      <c r="Q160" s="48"/>
      <c r="R160" s="48"/>
    </row>
    <row r="161" spans="1:18">
      <c r="A161" s="48"/>
      <c r="B161" s="48"/>
      <c r="C161" s="48"/>
      <c r="D161" s="48"/>
      <c r="E161" s="48"/>
      <c r="F161" s="48"/>
      <c r="G161" s="48"/>
      <c r="H161" s="48"/>
      <c r="I161" s="48"/>
      <c r="J161" s="48"/>
      <c r="K161" s="48"/>
      <c r="L161" s="48"/>
      <c r="M161" s="48"/>
      <c r="N161" s="48"/>
      <c r="O161" s="48"/>
      <c r="P161" s="48"/>
      <c r="Q161" s="48"/>
      <c r="R161" s="48"/>
    </row>
    <row r="162" spans="1:18">
      <c r="A162" s="48"/>
      <c r="B162" s="48"/>
      <c r="C162" s="48"/>
      <c r="D162" s="48"/>
      <c r="E162" s="48"/>
      <c r="F162" s="48"/>
      <c r="G162" s="48"/>
      <c r="H162" s="48"/>
      <c r="I162" s="48"/>
      <c r="J162" s="48"/>
      <c r="K162" s="48"/>
      <c r="L162" s="48"/>
      <c r="M162" s="48"/>
      <c r="N162" s="48"/>
      <c r="O162" s="48"/>
      <c r="P162" s="48"/>
      <c r="Q162" s="48"/>
      <c r="R162" s="48"/>
    </row>
    <row r="163" spans="1:18">
      <c r="A163" s="48"/>
      <c r="B163" s="48"/>
      <c r="C163" s="48"/>
      <c r="D163" s="48"/>
      <c r="E163" s="48"/>
      <c r="F163" s="48"/>
      <c r="G163" s="48"/>
      <c r="H163" s="48"/>
      <c r="I163" s="48"/>
      <c r="J163" s="48"/>
      <c r="K163" s="48"/>
      <c r="L163" s="48"/>
      <c r="M163" s="48"/>
      <c r="N163" s="48"/>
      <c r="O163" s="48"/>
      <c r="P163" s="48"/>
      <c r="Q163" s="48"/>
      <c r="R163" s="48"/>
    </row>
    <row r="164" spans="1:18">
      <c r="A164" s="48"/>
      <c r="B164" s="48"/>
      <c r="C164" s="48"/>
      <c r="D164" s="48"/>
      <c r="E164" s="48"/>
      <c r="F164" s="48"/>
      <c r="G164" s="48"/>
      <c r="H164" s="48"/>
      <c r="I164" s="48"/>
      <c r="J164" s="48"/>
      <c r="K164" s="48"/>
      <c r="L164" s="48"/>
      <c r="M164" s="48"/>
      <c r="N164" s="48"/>
      <c r="O164" s="48"/>
      <c r="P164" s="48"/>
      <c r="Q164" s="48"/>
      <c r="R164" s="48"/>
    </row>
  </sheetData>
  <sortState xmlns:xlrd2="http://schemas.microsoft.com/office/spreadsheetml/2017/richdata2" ref="C10:S38">
    <sortCondition descending="1" ref="L10:L38"/>
  </sortState>
  <pageMargins left="0.7" right="0.7" top="0.75" bottom="0.75" header="0.3" footer="0.3"/>
  <pageSetup paperSize="9" orientation="portrait" r:id="rId1"/>
  <ignoredErrors>
    <ignoredError sqref="H13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1A5C3-D729-4347-ADE7-3A625F5538B2}">
  <dimension ref="A1:W103"/>
  <sheetViews>
    <sheetView showGridLines="0" zoomScale="90" zoomScaleNormal="90" workbookViewId="0">
      <selection activeCell="U12" sqref="U12"/>
    </sheetView>
  </sheetViews>
  <sheetFormatPr defaultColWidth="10.7109375" defaultRowHeight="17.45" customHeight="1"/>
  <cols>
    <col min="1" max="1" width="1.7109375" style="4" customWidth="1"/>
    <col min="2" max="4" width="10.7109375" style="4"/>
    <col min="5" max="5" width="13.5703125" style="4" customWidth="1"/>
    <col min="6" max="7" width="0.85546875" style="12" customWidth="1"/>
    <col min="8" max="19" width="16.42578125" style="4" bestFit="1" customWidth="1"/>
    <col min="20" max="20" width="1.28515625" style="12" customWidth="1"/>
    <col min="21" max="21" width="15.7109375" style="4" customWidth="1"/>
    <col min="22" max="22" width="10.7109375" style="4"/>
    <col min="23" max="23" width="12.140625" style="4" hidden="1" customWidth="1"/>
    <col min="24" max="24" width="13.7109375" style="4" bestFit="1" customWidth="1"/>
    <col min="25" max="16384" width="10.7109375" style="4"/>
  </cols>
  <sheetData>
    <row r="1" spans="1:23" s="1" customFormat="1" ht="15.75">
      <c r="A1" s="4"/>
      <c r="B1" s="10"/>
    </row>
    <row r="2" spans="1:23" s="1" customFormat="1" ht="15.75">
      <c r="A2" s="4"/>
      <c r="B2" s="10"/>
      <c r="H2" s="45"/>
    </row>
    <row r="3" spans="1:23" s="1" customFormat="1" ht="15.75">
      <c r="A3" s="4"/>
      <c r="B3" s="10"/>
      <c r="H3" s="45"/>
    </row>
    <row r="4" spans="1:23" s="1" customFormat="1" ht="15.75">
      <c r="A4" s="4"/>
      <c r="B4" s="10"/>
    </row>
    <row r="5" spans="1:23" s="1" customFormat="1" ht="20.25">
      <c r="A5" s="4"/>
      <c r="B5" s="11" t="s">
        <v>19</v>
      </c>
    </row>
    <row r="6" spans="1:23" s="1" customFormat="1" ht="15.75">
      <c r="A6" s="4"/>
      <c r="B6" s="10"/>
      <c r="H6" s="42"/>
      <c r="I6" s="42"/>
      <c r="J6" s="42"/>
      <c r="K6" s="42"/>
      <c r="L6" s="42"/>
      <c r="M6" s="42"/>
    </row>
    <row r="7" spans="1:23" s="1" customFormat="1" ht="18">
      <c r="A7" s="4"/>
      <c r="B7" s="7" t="s">
        <v>158</v>
      </c>
      <c r="H7" s="44"/>
      <c r="I7" s="44"/>
      <c r="J7" s="44"/>
      <c r="K7" s="44"/>
      <c r="L7" s="44"/>
      <c r="M7" s="44"/>
      <c r="N7" s="42"/>
      <c r="O7" s="42"/>
      <c r="P7" s="42"/>
      <c r="Q7" s="42"/>
      <c r="R7" s="42"/>
      <c r="S7" s="42"/>
    </row>
    <row r="8" spans="1:23" s="1" customFormat="1" ht="6.95" customHeight="1">
      <c r="A8" s="4"/>
      <c r="B8" s="7"/>
    </row>
    <row r="9" spans="1:23" ht="24.95" customHeight="1">
      <c r="B9" s="21" t="s">
        <v>203</v>
      </c>
      <c r="C9" s="20"/>
      <c r="D9" s="20"/>
      <c r="E9" s="20"/>
      <c r="F9" s="18"/>
      <c r="G9" s="18"/>
      <c r="H9" s="19">
        <v>45658</v>
      </c>
      <c r="I9" s="19">
        <f>EDATE(H9,1)</f>
        <v>45689</v>
      </c>
      <c r="J9" s="19">
        <f t="shared" ref="J9:S9" si="0">EDATE(I9,1)</f>
        <v>45717</v>
      </c>
      <c r="K9" s="19">
        <f t="shared" si="0"/>
        <v>45748</v>
      </c>
      <c r="L9" s="19">
        <f t="shared" si="0"/>
        <v>45778</v>
      </c>
      <c r="M9" s="19">
        <f t="shared" si="0"/>
        <v>45809</v>
      </c>
      <c r="N9" s="19">
        <f t="shared" si="0"/>
        <v>45839</v>
      </c>
      <c r="O9" s="19">
        <f t="shared" si="0"/>
        <v>45870</v>
      </c>
      <c r="P9" s="19">
        <f t="shared" si="0"/>
        <v>45901</v>
      </c>
      <c r="Q9" s="19">
        <f t="shared" si="0"/>
        <v>45931</v>
      </c>
      <c r="R9" s="19">
        <f t="shared" si="0"/>
        <v>45962</v>
      </c>
      <c r="S9" s="19">
        <f t="shared" si="0"/>
        <v>45992</v>
      </c>
      <c r="T9" s="18"/>
      <c r="U9" s="17">
        <v>2025</v>
      </c>
    </row>
    <row r="10" spans="1:23" ht="3" customHeight="1">
      <c r="B10" s="16"/>
      <c r="C10" s="15"/>
      <c r="D10" s="15"/>
      <c r="E10" s="15"/>
      <c r="H10" s="14"/>
      <c r="I10" s="14"/>
      <c r="J10" s="14"/>
      <c r="K10" s="14"/>
      <c r="L10" s="14"/>
      <c r="M10" s="14"/>
      <c r="N10" s="14"/>
      <c r="O10" s="14"/>
      <c r="P10" s="14"/>
      <c r="Q10" s="14"/>
      <c r="R10" s="14"/>
      <c r="S10" s="14"/>
      <c r="U10" s="14"/>
    </row>
    <row r="11" spans="1:23" ht="3" customHeight="1">
      <c r="B11" s="16"/>
      <c r="C11" s="15"/>
      <c r="D11" s="15"/>
      <c r="E11" s="15"/>
      <c r="H11" s="14"/>
      <c r="I11" s="14"/>
      <c r="J11" s="14"/>
      <c r="K11" s="14"/>
      <c r="L11" s="14"/>
      <c r="M11" s="14"/>
      <c r="N11" s="14"/>
      <c r="O11" s="14"/>
      <c r="P11" s="14"/>
      <c r="Q11" s="14"/>
      <c r="R11" s="14"/>
      <c r="S11" s="14"/>
      <c r="U11" s="14"/>
    </row>
    <row r="12" spans="1:23" ht="17.45" customHeight="1">
      <c r="B12" s="30" t="s">
        <v>148</v>
      </c>
      <c r="C12" s="30"/>
      <c r="D12" s="30"/>
      <c r="E12" s="30"/>
      <c r="H12" s="31">
        <f>SUM(H13:H15)</f>
        <v>1478675.0538315999</v>
      </c>
      <c r="I12" s="31">
        <f>SUM(I13:I15)</f>
        <v>1009456.9423129042</v>
      </c>
      <c r="J12" s="31">
        <f>SUM(J13:J15)</f>
        <v>818944</v>
      </c>
      <c r="K12" s="31">
        <f>SUM(K13:K15)</f>
        <v>1406724.9212311008</v>
      </c>
      <c r="L12" s="31">
        <v>1416840.6005079399</v>
      </c>
      <c r="M12" s="31">
        <v>1068237.0547545911</v>
      </c>
      <c r="N12" s="31">
        <v>1140241.4930844603</v>
      </c>
      <c r="O12" s="31">
        <v>1391178.427709617</v>
      </c>
      <c r="P12" s="31">
        <v>954652.76942009851</v>
      </c>
      <c r="Q12" s="31">
        <v>652891.98224737844</v>
      </c>
      <c r="R12" s="31"/>
      <c r="S12" s="31"/>
      <c r="U12" s="31">
        <f t="shared" ref="U12:U22" si="1">SUM(H12:S12)</f>
        <v>11337843.245099692</v>
      </c>
      <c r="W12" s="40">
        <f>SUM(H12:U12)-SUM(H13:U15)</f>
        <v>389636.8400000073</v>
      </c>
    </row>
    <row r="13" spans="1:23" ht="17.45" customHeight="1">
      <c r="B13" s="32" t="s">
        <v>147</v>
      </c>
      <c r="C13" s="32"/>
      <c r="D13" s="32"/>
      <c r="E13" s="32"/>
      <c r="H13" s="33">
        <v>731370.52279074013</v>
      </c>
      <c r="I13" s="33">
        <v>780467.25999999978</v>
      </c>
      <c r="J13" s="33">
        <v>665470</v>
      </c>
      <c r="K13" s="33">
        <v>827886.10634920432</v>
      </c>
      <c r="L13" s="33">
        <v>773057.46</v>
      </c>
      <c r="M13" s="33">
        <v>815219.35200310266</v>
      </c>
      <c r="N13" s="33">
        <v>767005.17726400006</v>
      </c>
      <c r="O13" s="33">
        <v>884261.10742084763</v>
      </c>
      <c r="P13" s="33">
        <v>749561.9264106726</v>
      </c>
      <c r="Q13" s="33">
        <v>737735.80204232712</v>
      </c>
      <c r="R13" s="33"/>
      <c r="S13" s="33"/>
      <c r="U13" s="33">
        <f t="shared" si="1"/>
        <v>7732034.714280894</v>
      </c>
      <c r="W13" s="40"/>
    </row>
    <row r="14" spans="1:23" ht="17.45" customHeight="1">
      <c r="B14" s="32" t="s">
        <v>146</v>
      </c>
      <c r="C14" s="32"/>
      <c r="D14" s="32"/>
      <c r="E14" s="32"/>
      <c r="H14" s="33">
        <v>329578.0810408598</v>
      </c>
      <c r="I14" s="33">
        <v>228989.68231290445</v>
      </c>
      <c r="J14" s="33">
        <v>153474</v>
      </c>
      <c r="K14" s="33">
        <v>439482.42336189735</v>
      </c>
      <c r="L14" s="33">
        <v>567057.80050794</v>
      </c>
      <c r="M14" s="33">
        <v>253017.7027514884</v>
      </c>
      <c r="N14" s="33">
        <v>247002.67745275999</v>
      </c>
      <c r="O14" s="33">
        <v>233490.74300764929</v>
      </c>
      <c r="P14" s="33">
        <v>158140.09835702594</v>
      </c>
      <c r="Q14" s="33">
        <v>109101.93766345098</v>
      </c>
      <c r="R14" s="33"/>
      <c r="S14" s="33"/>
      <c r="U14" s="33">
        <f t="shared" si="1"/>
        <v>2719335.1464559757</v>
      </c>
      <c r="W14" s="40"/>
    </row>
    <row r="15" spans="1:23" ht="17.45" customHeight="1">
      <c r="B15" s="32" t="s">
        <v>145</v>
      </c>
      <c r="C15" s="32"/>
      <c r="D15" s="32"/>
      <c r="E15" s="32"/>
      <c r="H15" s="33">
        <v>417726.45</v>
      </c>
      <c r="I15" s="33">
        <v>0</v>
      </c>
      <c r="J15" s="33">
        <v>0</v>
      </c>
      <c r="K15" s="33">
        <v>139356.39151999907</v>
      </c>
      <c r="L15" s="33">
        <v>0</v>
      </c>
      <c r="M15" s="33">
        <v>0</v>
      </c>
      <c r="N15" s="33">
        <v>8140.5583677000004</v>
      </c>
      <c r="O15" s="33">
        <v>273426.57728112</v>
      </c>
      <c r="P15" s="33">
        <v>46950.744652399997</v>
      </c>
      <c r="Q15" s="33">
        <v>-193945.75745839957</v>
      </c>
      <c r="R15" s="33"/>
      <c r="S15" s="33"/>
      <c r="U15" s="33">
        <f t="shared" si="1"/>
        <v>691654.96436281945</v>
      </c>
      <c r="W15" s="40"/>
    </row>
    <row r="16" spans="1:23" ht="17.45" customHeight="1">
      <c r="B16" s="30" t="s">
        <v>144</v>
      </c>
      <c r="C16" s="30"/>
      <c r="D16" s="30"/>
      <c r="E16" s="30"/>
      <c r="H16" s="31">
        <f>H17+H18</f>
        <v>89607.610000000015</v>
      </c>
      <c r="I16" s="31">
        <f>I17+I18</f>
        <v>102995.35</v>
      </c>
      <c r="J16" s="31">
        <f>J17+J18</f>
        <v>108755</v>
      </c>
      <c r="K16" s="31">
        <f>K17+K18</f>
        <v>73576.89</v>
      </c>
      <c r="L16" s="31">
        <v>76725.34</v>
      </c>
      <c r="M16" s="31">
        <v>97338.64</v>
      </c>
      <c r="N16" s="31">
        <v>118093.08</v>
      </c>
      <c r="O16" s="31">
        <v>124601.63</v>
      </c>
      <c r="P16" s="31">
        <v>246211.7</v>
      </c>
      <c r="Q16" s="31">
        <v>226494.62</v>
      </c>
      <c r="R16" s="31"/>
      <c r="S16" s="31"/>
      <c r="U16" s="31">
        <f t="shared" si="1"/>
        <v>1264399.8599999999</v>
      </c>
      <c r="W16" s="40">
        <f>SUM(H16:U16)-SUM(H17:U18)</f>
        <v>0</v>
      </c>
    </row>
    <row r="17" spans="2:23" ht="17.45" customHeight="1">
      <c r="B17" s="32" t="s">
        <v>143</v>
      </c>
      <c r="C17" s="32"/>
      <c r="D17" s="32"/>
      <c r="E17" s="32"/>
      <c r="H17" s="33">
        <v>45000</v>
      </c>
      <c r="I17" s="33">
        <v>45000</v>
      </c>
      <c r="J17" s="33">
        <v>45000</v>
      </c>
      <c r="K17" s="33">
        <v>45000</v>
      </c>
      <c r="L17" s="33">
        <v>45000</v>
      </c>
      <c r="M17" s="33">
        <v>45000</v>
      </c>
      <c r="N17" s="33">
        <v>45000</v>
      </c>
      <c r="O17" s="33">
        <v>45000</v>
      </c>
      <c r="P17" s="33">
        <v>45000</v>
      </c>
      <c r="Q17" s="33">
        <v>45000</v>
      </c>
      <c r="R17" s="33"/>
      <c r="S17" s="33"/>
      <c r="U17" s="33">
        <f t="shared" si="1"/>
        <v>450000</v>
      </c>
      <c r="W17" s="40"/>
    </row>
    <row r="18" spans="2:23" ht="17.45" customHeight="1">
      <c r="B18" s="32" t="s">
        <v>142</v>
      </c>
      <c r="C18" s="32"/>
      <c r="D18" s="32"/>
      <c r="E18" s="32"/>
      <c r="H18" s="33">
        <v>44607.610000000008</v>
      </c>
      <c r="I18" s="33">
        <v>57995.35</v>
      </c>
      <c r="J18" s="33">
        <v>63755</v>
      </c>
      <c r="K18" s="33">
        <v>28576.89</v>
      </c>
      <c r="L18" s="33">
        <v>31725.34</v>
      </c>
      <c r="M18" s="33">
        <v>52338.64</v>
      </c>
      <c r="N18" s="33">
        <v>73093.08</v>
      </c>
      <c r="O18" s="33">
        <v>79601.63</v>
      </c>
      <c r="P18" s="33">
        <v>201211.7</v>
      </c>
      <c r="Q18" s="33">
        <v>181494.62</v>
      </c>
      <c r="R18" s="33"/>
      <c r="S18" s="33"/>
      <c r="U18" s="33">
        <f t="shared" si="1"/>
        <v>814399.86</v>
      </c>
      <c r="W18" s="40"/>
    </row>
    <row r="19" spans="2:23" ht="17.45" customHeight="1">
      <c r="B19" s="30" t="s">
        <v>141</v>
      </c>
      <c r="C19" s="30"/>
      <c r="D19" s="30"/>
      <c r="E19" s="30"/>
      <c r="H19" s="31">
        <f>H20</f>
        <v>-99624.58</v>
      </c>
      <c r="I19" s="31">
        <f>I20</f>
        <v>-152097.11569999999</v>
      </c>
      <c r="J19" s="31">
        <f>J20</f>
        <v>-112495</v>
      </c>
      <c r="K19" s="31">
        <f>K20</f>
        <v>-117155.07053333</v>
      </c>
      <c r="L19" s="31">
        <v>-126332.57963332999</v>
      </c>
      <c r="M19" s="31">
        <v>-114679.22833333</v>
      </c>
      <c r="N19" s="31">
        <v>-133840.38833332999</v>
      </c>
      <c r="O19" s="31">
        <v>-138702.88833332999</v>
      </c>
      <c r="P19" s="31">
        <v>-159459.82833333002</v>
      </c>
      <c r="Q19" s="31">
        <v>-160274.03833333001</v>
      </c>
      <c r="R19" s="31"/>
      <c r="S19" s="31"/>
      <c r="U19" s="31">
        <f t="shared" si="1"/>
        <v>-1314660.7175333102</v>
      </c>
      <c r="W19" s="40">
        <f>SUM(H19:U19)-SUM(H20:U20)</f>
        <v>0</v>
      </c>
    </row>
    <row r="20" spans="2:23" ht="17.45" customHeight="1">
      <c r="B20" s="32" t="s">
        <v>140</v>
      </c>
      <c r="C20" s="32"/>
      <c r="D20" s="32"/>
      <c r="E20" s="32"/>
      <c r="H20" s="33">
        <v>-99624.58</v>
      </c>
      <c r="I20" s="33">
        <v>-152097.11569999999</v>
      </c>
      <c r="J20" s="33">
        <v>-112495</v>
      </c>
      <c r="K20" s="33">
        <v>-117155.07053333</v>
      </c>
      <c r="L20" s="33">
        <v>-126332.57963332999</v>
      </c>
      <c r="M20" s="33">
        <v>-114679.22833333</v>
      </c>
      <c r="N20" s="33">
        <v>-133840.38833332999</v>
      </c>
      <c r="O20" s="33">
        <v>-138702.88833332999</v>
      </c>
      <c r="P20" s="33">
        <v>-159459.82833333002</v>
      </c>
      <c r="Q20" s="33">
        <v>-160274.03833333001</v>
      </c>
      <c r="R20" s="33"/>
      <c r="S20" s="33"/>
      <c r="U20" s="33">
        <f t="shared" si="1"/>
        <v>-1314660.7175333102</v>
      </c>
      <c r="W20" s="40"/>
    </row>
    <row r="21" spans="2:23" ht="17.45" customHeight="1">
      <c r="B21" s="30" t="s">
        <v>139</v>
      </c>
      <c r="C21" s="30"/>
      <c r="D21" s="30"/>
      <c r="E21" s="30"/>
      <c r="H21" s="31">
        <f>H12+H16+H19</f>
        <v>1468658.0838315999</v>
      </c>
      <c r="I21" s="31">
        <f>I12+I16+I19</f>
        <v>960355.1766129043</v>
      </c>
      <c r="J21" s="31">
        <f>J12+J16+J19</f>
        <v>815204</v>
      </c>
      <c r="K21" s="31">
        <f>K12+K16+K19</f>
        <v>1363146.7406977706</v>
      </c>
      <c r="L21" s="31">
        <v>1290508.0208746099</v>
      </c>
      <c r="M21" s="31">
        <v>1050896.466421261</v>
      </c>
      <c r="N21" s="31">
        <v>1006401.1047511303</v>
      </c>
      <c r="O21" s="31">
        <v>1377077.1693762871</v>
      </c>
      <c r="P21" s="31">
        <v>1041404.6410867685</v>
      </c>
      <c r="Q21" s="31">
        <v>719112.56391404849</v>
      </c>
      <c r="R21" s="31"/>
      <c r="S21" s="31"/>
      <c r="U21" s="31">
        <f t="shared" si="1"/>
        <v>11092763.967566382</v>
      </c>
      <c r="W21" s="40">
        <f>SUM(H12:U12,H16:U16,H19:U19)-SUM(H21:U21)</f>
        <v>389636.83999999613</v>
      </c>
    </row>
    <row r="22" spans="2:23" ht="17.45" customHeight="1">
      <c r="B22" s="34" t="s">
        <v>138</v>
      </c>
      <c r="C22" s="34"/>
      <c r="D22" s="34"/>
      <c r="E22" s="34"/>
      <c r="H22" s="35">
        <v>1090931.5</v>
      </c>
      <c r="I22" s="35">
        <v>1090931.5</v>
      </c>
      <c r="J22" s="35">
        <v>1090931.5</v>
      </c>
      <c r="K22" s="35">
        <v>1090931.5</v>
      </c>
      <c r="L22" s="35">
        <v>1090931.5</v>
      </c>
      <c r="M22" s="35">
        <v>1152263.1523242192</v>
      </c>
      <c r="N22" s="35">
        <v>1090931.5</v>
      </c>
      <c r="O22" s="35">
        <v>1090931.5</v>
      </c>
      <c r="P22" s="35">
        <v>1090931.5</v>
      </c>
      <c r="Q22" s="35">
        <v>1090931.5</v>
      </c>
      <c r="R22" s="35"/>
      <c r="S22" s="35"/>
      <c r="U22" s="35">
        <f t="shared" si="1"/>
        <v>10970646.652324218</v>
      </c>
    </row>
    <row r="23" spans="2:23" ht="17.45" customHeight="1">
      <c r="B23" s="36" t="s">
        <v>137</v>
      </c>
      <c r="C23" s="36"/>
      <c r="D23" s="36"/>
      <c r="E23" s="36"/>
      <c r="H23" s="37">
        <v>0.13462422561192888</v>
      </c>
      <c r="I23" s="37">
        <v>8.8030749557869062E-2</v>
      </c>
      <c r="J23" s="37">
        <v>7.4725473930831787E-2</v>
      </c>
      <c r="K23" s="37">
        <v>0.12495255116364049</v>
      </c>
      <c r="L23" s="37">
        <v>0.11829413862140839</v>
      </c>
      <c r="M23" s="37">
        <v>9.6330197305812604E-2</v>
      </c>
      <c r="N23" s="37">
        <v>9.2251539601810956E-2</v>
      </c>
      <c r="O23" s="37">
        <v>0.1262294808955729</v>
      </c>
      <c r="P23" s="37">
        <v>9.546013118942559E-2</v>
      </c>
      <c r="Q23" s="37">
        <v>6.5917297640965405E-2</v>
      </c>
      <c r="R23" s="37"/>
      <c r="S23" s="37"/>
      <c r="U23" s="37">
        <f>AVERAGE(H23:S23)</f>
        <v>0.10168157855192661</v>
      </c>
    </row>
    <row r="24" spans="2:23" ht="17.45" customHeight="1">
      <c r="B24" s="36" t="s">
        <v>136</v>
      </c>
      <c r="C24" s="36"/>
      <c r="D24" s="36"/>
      <c r="E24" s="36"/>
      <c r="H24" s="37">
        <v>0.1</v>
      </c>
      <c r="I24" s="37">
        <v>0.1</v>
      </c>
      <c r="J24" s="37">
        <v>0.1</v>
      </c>
      <c r="K24" s="37">
        <v>0.1</v>
      </c>
      <c r="L24" s="37">
        <v>0.1</v>
      </c>
      <c r="M24" s="37">
        <v>0.105</v>
      </c>
      <c r="N24" s="37">
        <v>0.1</v>
      </c>
      <c r="O24" s="37">
        <v>0.1</v>
      </c>
      <c r="P24" s="37">
        <v>0.1</v>
      </c>
      <c r="Q24" s="37">
        <v>0.1</v>
      </c>
      <c r="R24" s="37"/>
      <c r="S24" s="37"/>
      <c r="U24" s="37">
        <f>AVERAGE(H24:S24)</f>
        <v>0.10049999999999999</v>
      </c>
    </row>
    <row r="25" spans="2:23" ht="17.45" customHeight="1">
      <c r="B25" s="36" t="s">
        <v>135</v>
      </c>
      <c r="C25" s="36"/>
      <c r="D25" s="36"/>
      <c r="E25" s="36"/>
      <c r="H25" s="39">
        <v>9.35</v>
      </c>
      <c r="I25" s="38">
        <v>9.3178646000000001</v>
      </c>
      <c r="J25" s="38">
        <v>9.3393543999999995</v>
      </c>
      <c r="K25" s="38">
        <v>9.5503274999999999</v>
      </c>
      <c r="L25" s="38">
        <v>9.5767015999999998</v>
      </c>
      <c r="M25" s="38">
        <v>9.5892695000000003</v>
      </c>
      <c r="N25" s="38">
        <v>9.4885494000000001</v>
      </c>
      <c r="O25" s="38">
        <v>9.5602517999999996</v>
      </c>
      <c r="P25" s="38">
        <v>9.5553910000000002</v>
      </c>
      <c r="Q25" s="38">
        <v>9.5574288999999997</v>
      </c>
      <c r="R25" s="38"/>
      <c r="S25" s="38"/>
      <c r="U25" s="38" t="s">
        <v>133</v>
      </c>
    </row>
    <row r="26" spans="2:23" ht="17.45" customHeight="1">
      <c r="B26" s="36" t="s">
        <v>134</v>
      </c>
      <c r="C26" s="36"/>
      <c r="D26" s="36"/>
      <c r="E26" s="36"/>
      <c r="H26" s="38">
        <v>7.43</v>
      </c>
      <c r="I26" s="38">
        <v>7.62</v>
      </c>
      <c r="J26" s="38">
        <v>7.91</v>
      </c>
      <c r="K26" s="38">
        <v>7.81</v>
      </c>
      <c r="L26" s="38">
        <v>7.8</v>
      </c>
      <c r="M26" s="38">
        <v>7.88</v>
      </c>
      <c r="N26" s="38">
        <v>7.84</v>
      </c>
      <c r="O26" s="38">
        <v>8</v>
      </c>
      <c r="P26" s="38">
        <v>7.89</v>
      </c>
      <c r="Q26" s="38">
        <v>7.87</v>
      </c>
      <c r="R26" s="38"/>
      <c r="S26" s="38"/>
      <c r="U26" s="38" t="s">
        <v>133</v>
      </c>
    </row>
    <row r="27" spans="2:23" ht="17.45" customHeight="1">
      <c r="I27" s="13"/>
      <c r="J27" s="13"/>
      <c r="K27" s="13"/>
      <c r="L27" s="13"/>
      <c r="M27" s="13"/>
      <c r="N27" s="13"/>
      <c r="O27" s="13"/>
      <c r="P27" s="13"/>
      <c r="Q27" s="13"/>
      <c r="R27" s="13"/>
      <c r="S27" s="13"/>
    </row>
    <row r="28" spans="2:23" ht="24.95" customHeight="1">
      <c r="B28" s="21" t="s">
        <v>152</v>
      </c>
      <c r="C28" s="20"/>
      <c r="D28" s="20"/>
      <c r="E28" s="20"/>
      <c r="F28" s="18"/>
      <c r="G28" s="18"/>
      <c r="H28" s="19">
        <v>45292</v>
      </c>
      <c r="I28" s="19">
        <v>45323</v>
      </c>
      <c r="J28" s="19">
        <v>45352</v>
      </c>
      <c r="K28" s="19">
        <v>45383</v>
      </c>
      <c r="L28" s="19">
        <v>45413</v>
      </c>
      <c r="M28" s="19">
        <v>45444</v>
      </c>
      <c r="N28" s="19">
        <v>45474</v>
      </c>
      <c r="O28" s="19">
        <v>45505</v>
      </c>
      <c r="P28" s="19">
        <v>45536</v>
      </c>
      <c r="Q28" s="19">
        <v>45566</v>
      </c>
      <c r="R28" s="19">
        <v>45597</v>
      </c>
      <c r="S28" s="19">
        <v>45627</v>
      </c>
      <c r="T28" s="18"/>
      <c r="U28" s="17">
        <v>2024</v>
      </c>
    </row>
    <row r="29" spans="2:23" ht="3" customHeight="1">
      <c r="B29" s="16"/>
      <c r="C29" s="15"/>
      <c r="D29" s="15"/>
      <c r="E29" s="15"/>
      <c r="H29" s="14"/>
      <c r="I29" s="14"/>
      <c r="J29" s="14"/>
      <c r="K29" s="14"/>
      <c r="L29" s="14"/>
      <c r="M29" s="14"/>
      <c r="N29" s="14"/>
      <c r="O29" s="14"/>
      <c r="P29" s="14"/>
      <c r="Q29" s="14"/>
      <c r="R29" s="14"/>
      <c r="S29" s="14"/>
      <c r="U29" s="14"/>
    </row>
    <row r="30" spans="2:23" ht="3" customHeight="1">
      <c r="B30" s="16"/>
      <c r="C30" s="15"/>
      <c r="D30" s="15"/>
      <c r="E30" s="15"/>
      <c r="H30" s="14"/>
      <c r="I30" s="14"/>
      <c r="J30" s="14"/>
      <c r="K30" s="14"/>
      <c r="L30" s="14"/>
      <c r="M30" s="14"/>
      <c r="N30" s="14"/>
      <c r="O30" s="14"/>
      <c r="P30" s="14"/>
      <c r="Q30" s="14"/>
      <c r="R30" s="14"/>
      <c r="S30" s="14"/>
      <c r="U30" s="14"/>
    </row>
    <row r="31" spans="2:23" ht="17.45" customHeight="1">
      <c r="B31" s="30" t="s">
        <v>148</v>
      </c>
      <c r="C31" s="30"/>
      <c r="D31" s="30"/>
      <c r="E31" s="30"/>
      <c r="H31" s="31">
        <v>750617.23578025191</v>
      </c>
      <c r="I31" s="31">
        <v>906834.51998557802</v>
      </c>
      <c r="J31" s="31">
        <v>1052452.4637925965</v>
      </c>
      <c r="K31" s="31">
        <v>1099041.4006728292</v>
      </c>
      <c r="L31" s="31">
        <v>1115247.1202586349</v>
      </c>
      <c r="M31" s="31">
        <v>1023328.2942167517</v>
      </c>
      <c r="N31" s="31">
        <v>1186108.8999131117</v>
      </c>
      <c r="O31" s="31">
        <v>922162.25903376297</v>
      </c>
      <c r="P31" s="31">
        <v>1132850.1142714941</v>
      </c>
      <c r="Q31" s="31">
        <f>SUM(Q32:Q34)</f>
        <v>1119445.7465332795</v>
      </c>
      <c r="R31" s="31">
        <f>SUM(R32:R34)</f>
        <v>1116114.6142864453</v>
      </c>
      <c r="S31" s="31">
        <f>SUM(S32:S34)</f>
        <v>978406.67085603648</v>
      </c>
      <c r="U31" s="31">
        <f t="shared" ref="U31:U41" si="2">SUM(H31:S31)</f>
        <v>12402609.339600774</v>
      </c>
      <c r="W31" s="40">
        <f>SUM(H31:U31)-SUM(H32:U34)</f>
        <v>0</v>
      </c>
    </row>
    <row r="32" spans="2:23" ht="17.45" customHeight="1">
      <c r="B32" s="32" t="s">
        <v>147</v>
      </c>
      <c r="C32" s="32"/>
      <c r="D32" s="32"/>
      <c r="E32" s="32"/>
      <c r="H32" s="33">
        <v>590981.73431951797</v>
      </c>
      <c r="I32" s="33">
        <v>705409.85056248261</v>
      </c>
      <c r="J32" s="33">
        <v>699818.11789395357</v>
      </c>
      <c r="K32" s="33">
        <v>733238.05549840501</v>
      </c>
      <c r="L32" s="33">
        <v>679391.04436011706</v>
      </c>
      <c r="M32" s="33">
        <v>859443.99955374876</v>
      </c>
      <c r="N32" s="33">
        <v>705672.44649650285</v>
      </c>
      <c r="O32" s="33">
        <v>736869.16532945784</v>
      </c>
      <c r="P32" s="33">
        <v>726889.88288502709</v>
      </c>
      <c r="Q32" s="33">
        <v>698105.50193024555</v>
      </c>
      <c r="R32" s="33">
        <v>717226.64938469045</v>
      </c>
      <c r="S32" s="33">
        <v>703743.06379442627</v>
      </c>
      <c r="U32" s="33">
        <f t="shared" si="2"/>
        <v>8556789.5120085739</v>
      </c>
      <c r="W32" s="40"/>
    </row>
    <row r="33" spans="2:23" ht="17.45" customHeight="1">
      <c r="B33" s="32" t="s">
        <v>146</v>
      </c>
      <c r="C33" s="32"/>
      <c r="D33" s="32"/>
      <c r="E33" s="32"/>
      <c r="H33" s="33">
        <v>159635.501460734</v>
      </c>
      <c r="I33" s="33">
        <v>201424.66942309542</v>
      </c>
      <c r="J33" s="33">
        <v>226064.12589864284</v>
      </c>
      <c r="K33" s="33">
        <v>221297.20517442413</v>
      </c>
      <c r="L33" s="33">
        <v>152759.955898518</v>
      </c>
      <c r="M33" s="33">
        <v>158773.00466300317</v>
      </c>
      <c r="N33" s="33">
        <v>172464.58341660869</v>
      </c>
      <c r="O33" s="33">
        <v>132385.49370430521</v>
      </c>
      <c r="P33" s="33">
        <v>120548.55138646708</v>
      </c>
      <c r="Q33" s="33">
        <v>167265.15460303385</v>
      </c>
      <c r="R33" s="33">
        <v>320563.61490175489</v>
      </c>
      <c r="S33" s="33">
        <v>274663.60706161027</v>
      </c>
      <c r="U33" s="33">
        <f t="shared" si="2"/>
        <v>2307845.4675921975</v>
      </c>
      <c r="W33" s="40"/>
    </row>
    <row r="34" spans="2:23" ht="17.45" customHeight="1">
      <c r="B34" s="32" t="s">
        <v>145</v>
      </c>
      <c r="C34" s="32"/>
      <c r="D34" s="32"/>
      <c r="E34" s="32"/>
      <c r="H34" s="33"/>
      <c r="I34" s="33"/>
      <c r="J34" s="33">
        <v>126570.22</v>
      </c>
      <c r="K34" s="33">
        <v>144506.14000000001</v>
      </c>
      <c r="L34" s="33">
        <v>283096.12</v>
      </c>
      <c r="M34" s="33">
        <v>5111.2899999997999</v>
      </c>
      <c r="N34" s="33">
        <v>307971.87</v>
      </c>
      <c r="O34" s="33">
        <v>52907.6</v>
      </c>
      <c r="P34" s="33">
        <v>285411.68</v>
      </c>
      <c r="Q34" s="33">
        <v>254075.09</v>
      </c>
      <c r="R34" s="33">
        <v>78324.350000000006</v>
      </c>
      <c r="S34" s="33">
        <v>0</v>
      </c>
      <c r="U34" s="33">
        <f t="shared" si="2"/>
        <v>1537974.3599999999</v>
      </c>
      <c r="W34" s="40"/>
    </row>
    <row r="35" spans="2:23" ht="17.45" customHeight="1">
      <c r="B35" s="30" t="s">
        <v>144</v>
      </c>
      <c r="C35" s="30"/>
      <c r="D35" s="30"/>
      <c r="E35" s="30"/>
      <c r="H35" s="31">
        <v>176085.80000000002</v>
      </c>
      <c r="I35" s="31">
        <v>83912.43</v>
      </c>
      <c r="J35" s="31">
        <v>87479.84</v>
      </c>
      <c r="K35" s="31">
        <v>88497.640000000014</v>
      </c>
      <c r="L35" s="31">
        <v>75473.75</v>
      </c>
      <c r="M35" s="31">
        <v>72088.750000000015</v>
      </c>
      <c r="N35" s="31">
        <v>111946.6</v>
      </c>
      <c r="O35" s="31">
        <v>100602.63</v>
      </c>
      <c r="P35" s="31">
        <v>99134.239999999991</v>
      </c>
      <c r="Q35" s="31">
        <f>SUM(Q36:Q37)</f>
        <v>99929.279999999999</v>
      </c>
      <c r="R35" s="31">
        <f>SUM(R36:R37)</f>
        <v>95318.1</v>
      </c>
      <c r="S35" s="31">
        <f>SUM(S36:S37)</f>
        <v>88892.09</v>
      </c>
      <c r="U35" s="31">
        <f t="shared" si="2"/>
        <v>1179361.1500000001</v>
      </c>
      <c r="W35" s="40">
        <f>SUM(H35:U35)-SUM(H36:U37)</f>
        <v>0</v>
      </c>
    </row>
    <row r="36" spans="2:23" ht="17.45" customHeight="1">
      <c r="B36" s="32" t="s">
        <v>143</v>
      </c>
      <c r="C36" s="32"/>
      <c r="D36" s="32"/>
      <c r="E36" s="32"/>
      <c r="H36" s="33">
        <v>52085.26</v>
      </c>
      <c r="I36" s="33">
        <v>40000</v>
      </c>
      <c r="J36" s="33">
        <v>40000</v>
      </c>
      <c r="K36" s="33">
        <v>40000</v>
      </c>
      <c r="L36" s="33">
        <v>50000</v>
      </c>
      <c r="M36" s="33">
        <v>50000</v>
      </c>
      <c r="N36" s="33">
        <v>50000</v>
      </c>
      <c r="O36" s="33">
        <v>50000</v>
      </c>
      <c r="P36" s="33">
        <v>45000</v>
      </c>
      <c r="Q36" s="33">
        <v>40000</v>
      </c>
      <c r="R36" s="33">
        <v>42500</v>
      </c>
      <c r="S36" s="33">
        <v>45000</v>
      </c>
      <c r="U36" s="33">
        <f t="shared" si="2"/>
        <v>544585.26</v>
      </c>
      <c r="W36" s="40"/>
    </row>
    <row r="37" spans="2:23" ht="17.45" customHeight="1">
      <c r="B37" s="32" t="s">
        <v>142</v>
      </c>
      <c r="C37" s="32"/>
      <c r="D37" s="32"/>
      <c r="E37" s="32"/>
      <c r="H37" s="33">
        <v>124000.54000000001</v>
      </c>
      <c r="I37" s="33">
        <v>43912.429999999993</v>
      </c>
      <c r="J37" s="33">
        <v>47479.839999999997</v>
      </c>
      <c r="K37" s="33">
        <v>48497.640000000007</v>
      </c>
      <c r="L37" s="33">
        <v>25473.750000000004</v>
      </c>
      <c r="M37" s="33">
        <v>22088.750000000011</v>
      </c>
      <c r="N37" s="33">
        <v>61946.6</v>
      </c>
      <c r="O37" s="33">
        <v>50602.630000000005</v>
      </c>
      <c r="P37" s="33">
        <v>54134.239999999991</v>
      </c>
      <c r="Q37" s="33">
        <v>59929.280000000006</v>
      </c>
      <c r="R37" s="33">
        <v>52818.100000000006</v>
      </c>
      <c r="S37" s="33">
        <v>43892.09</v>
      </c>
      <c r="U37" s="33">
        <f t="shared" si="2"/>
        <v>634775.8899999999</v>
      </c>
      <c r="W37" s="40"/>
    </row>
    <row r="38" spans="2:23" ht="17.45" customHeight="1">
      <c r="B38" s="30" t="s">
        <v>141</v>
      </c>
      <c r="C38" s="30"/>
      <c r="D38" s="30"/>
      <c r="E38" s="30"/>
      <c r="H38" s="31">
        <v>-109493.70000000001</v>
      </c>
      <c r="I38" s="31">
        <v>-117338.84</v>
      </c>
      <c r="J38" s="31">
        <v>-101050.09999999992</v>
      </c>
      <c r="K38" s="31">
        <v>-115951.64</v>
      </c>
      <c r="L38" s="31">
        <v>-122945.78</v>
      </c>
      <c r="M38" s="31">
        <v>-127910.15000000001</v>
      </c>
      <c r="N38" s="31">
        <v>-115204.24</v>
      </c>
      <c r="O38" s="31">
        <v>-117152.11</v>
      </c>
      <c r="P38" s="31">
        <v>-143260.14000000001</v>
      </c>
      <c r="Q38" s="31">
        <f>Q39</f>
        <v>-115952.68</v>
      </c>
      <c r="R38" s="31">
        <f>R39</f>
        <v>-123748.15</v>
      </c>
      <c r="S38" s="31">
        <f>S39</f>
        <v>-113373.04</v>
      </c>
      <c r="U38" s="31">
        <f t="shared" si="2"/>
        <v>-1423380.5699999998</v>
      </c>
      <c r="W38" s="40">
        <f>SUM(H38:U38)-SUM(H39:U39)</f>
        <v>0</v>
      </c>
    </row>
    <row r="39" spans="2:23" ht="17.45" customHeight="1">
      <c r="B39" s="32" t="s">
        <v>140</v>
      </c>
      <c r="C39" s="32"/>
      <c r="D39" s="32"/>
      <c r="E39" s="32"/>
      <c r="H39" s="33">
        <v>-109493.70000000001</v>
      </c>
      <c r="I39" s="33">
        <v>-117338.84</v>
      </c>
      <c r="J39" s="33">
        <v>-101050.09999999992</v>
      </c>
      <c r="K39" s="33">
        <v>-115951.64</v>
      </c>
      <c r="L39" s="33">
        <v>-122945.78</v>
      </c>
      <c r="M39" s="33">
        <v>-127910.15000000001</v>
      </c>
      <c r="N39" s="33">
        <v>-115204.24</v>
      </c>
      <c r="O39" s="33">
        <v>-117152.11</v>
      </c>
      <c r="P39" s="33">
        <v>-143260.14000000001</v>
      </c>
      <c r="Q39" s="33">
        <v>-115952.68</v>
      </c>
      <c r="R39" s="33">
        <v>-123748.15</v>
      </c>
      <c r="S39" s="33">
        <v>-113373.04</v>
      </c>
      <c r="U39" s="33">
        <f t="shared" si="2"/>
        <v>-1423380.5699999998</v>
      </c>
      <c r="W39" s="40"/>
    </row>
    <row r="40" spans="2:23" ht="17.45" customHeight="1">
      <c r="B40" s="30" t="s">
        <v>139</v>
      </c>
      <c r="C40" s="30"/>
      <c r="D40" s="30"/>
      <c r="E40" s="30"/>
      <c r="H40" s="31">
        <v>817209.335780252</v>
      </c>
      <c r="I40" s="31">
        <v>873408.10998557799</v>
      </c>
      <c r="J40" s="31">
        <v>1038882.2037925967</v>
      </c>
      <c r="K40" s="31">
        <v>1071587.4006728295</v>
      </c>
      <c r="L40" s="31">
        <v>1067775.09025863</v>
      </c>
      <c r="M40" s="31">
        <v>967506.8942167518</v>
      </c>
      <c r="N40" s="31">
        <v>1182851.2599131118</v>
      </c>
      <c r="O40" s="31">
        <v>905612.77903376298</v>
      </c>
      <c r="P40" s="31">
        <v>1088724.2142714942</v>
      </c>
      <c r="Q40" s="31">
        <f>SUM(Q31,Q35,Q38)</f>
        <v>1103422.3465332796</v>
      </c>
      <c r="R40" s="31">
        <f>SUM(R31,R35,R38)</f>
        <v>1087684.5642864455</v>
      </c>
      <c r="S40" s="31">
        <f>SUM(S31,S35,S38)</f>
        <v>953925.72085603653</v>
      </c>
      <c r="U40" s="31">
        <f t="shared" si="2"/>
        <v>12158589.919600772</v>
      </c>
      <c r="W40" s="40">
        <f>SUM(H31:U31,H35:U35,H38:U38)-SUM(H40:U40)</f>
        <v>0</v>
      </c>
    </row>
    <row r="41" spans="2:23" ht="17.45" customHeight="1">
      <c r="B41" s="34" t="s">
        <v>138</v>
      </c>
      <c r="C41" s="34"/>
      <c r="D41" s="34"/>
      <c r="E41" s="34"/>
      <c r="H41" s="35">
        <v>818198.625</v>
      </c>
      <c r="I41" s="35">
        <v>882534.01925635</v>
      </c>
      <c r="J41" s="35">
        <v>1038882.2</v>
      </c>
      <c r="K41" s="35">
        <v>1036384.925</v>
      </c>
      <c r="L41" s="35">
        <v>1036384.925</v>
      </c>
      <c r="M41" s="35">
        <v>1034099.53826761</v>
      </c>
      <c r="N41" s="35">
        <v>1038670.31173239</v>
      </c>
      <c r="O41" s="35">
        <v>1036384.925</v>
      </c>
      <c r="P41" s="35">
        <v>1036384.925</v>
      </c>
      <c r="Q41" s="35">
        <v>1036384.925</v>
      </c>
      <c r="R41" s="35">
        <v>1036384.925</v>
      </c>
      <c r="S41" s="35">
        <v>1036384.925</v>
      </c>
      <c r="U41" s="35">
        <f t="shared" si="2"/>
        <v>12067079.169256352</v>
      </c>
    </row>
    <row r="42" spans="2:23" ht="17.45" customHeight="1">
      <c r="B42" s="36" t="s">
        <v>137</v>
      </c>
      <c r="C42" s="36"/>
      <c r="D42" s="36"/>
      <c r="E42" s="36"/>
      <c r="H42" s="37">
        <v>7.4909317017636035E-2</v>
      </c>
      <c r="I42" s="37">
        <v>8.0060765500453324E-2</v>
      </c>
      <c r="J42" s="37">
        <v>9.5228912520410006E-2</v>
      </c>
      <c r="K42" s="37">
        <v>9.8226827318931523E-2</v>
      </c>
      <c r="L42" s="37">
        <v>9.7877372709343796E-2</v>
      </c>
      <c r="M42" s="37">
        <v>8.8686310205246782E-2</v>
      </c>
      <c r="N42" s="37">
        <v>0.10842580491195934</v>
      </c>
      <c r="O42" s="37">
        <v>8.3012799523504724E-2</v>
      </c>
      <c r="P42" s="37">
        <v>9.9797669631089964E-2</v>
      </c>
      <c r="Q42" s="37">
        <v>0.10114497074594322</v>
      </c>
      <c r="R42" s="37">
        <v>9.9702370340066765E-2</v>
      </c>
      <c r="S42" s="37">
        <v>8.7441394886483392E-2</v>
      </c>
      <c r="U42" s="37">
        <f>AVERAGE(H42:S42)</f>
        <v>9.287620960925573E-2</v>
      </c>
    </row>
    <row r="43" spans="2:23" ht="17.45" customHeight="1">
      <c r="B43" s="36" t="s">
        <v>136</v>
      </c>
      <c r="C43" s="36"/>
      <c r="D43" s="36"/>
      <c r="E43" s="36"/>
      <c r="H43" s="37">
        <v>7.4999999999999997E-2</v>
      </c>
      <c r="I43" s="37">
        <v>8.0897289999999997E-2</v>
      </c>
      <c r="J43" s="37">
        <v>9.5228912172762442E-2</v>
      </c>
      <c r="K43" s="37">
        <v>9.5000000000000001E-2</v>
      </c>
      <c r="L43" s="37">
        <v>9.5000000000000001E-2</v>
      </c>
      <c r="M43" s="37">
        <v>9.4790510519460663E-2</v>
      </c>
      <c r="N43" s="37">
        <v>9.5209489480539339E-2</v>
      </c>
      <c r="O43" s="37">
        <v>9.5000000000000001E-2</v>
      </c>
      <c r="P43" s="37">
        <v>9.5000000000000001E-2</v>
      </c>
      <c r="Q43" s="37">
        <v>9.5000000000000001E-2</v>
      </c>
      <c r="R43" s="37">
        <v>9.5000000000000001E-2</v>
      </c>
      <c r="S43" s="37">
        <v>9.5000000000000001E-2</v>
      </c>
      <c r="U43" s="37">
        <f>AVERAGE(H43:S43)</f>
        <v>9.2177183514396854E-2</v>
      </c>
    </row>
    <row r="44" spans="2:23" ht="17.45" customHeight="1">
      <c r="B44" s="36" t="s">
        <v>135</v>
      </c>
      <c r="C44" s="36"/>
      <c r="D44" s="36"/>
      <c r="E44" s="36"/>
      <c r="H44" s="39">
        <v>10.02</v>
      </c>
      <c r="I44" s="38">
        <v>10.01</v>
      </c>
      <c r="J44" s="38">
        <v>9.98</v>
      </c>
      <c r="K44" s="38">
        <v>9.8073375056087393</v>
      </c>
      <c r="L44" s="38">
        <v>9.8470862726028177</v>
      </c>
      <c r="M44" s="38">
        <v>9.7200000000000006</v>
      </c>
      <c r="N44" s="38">
        <v>9.8809027798720628</v>
      </c>
      <c r="O44" s="38">
        <v>9.77</v>
      </c>
      <c r="P44" s="38">
        <v>9.7307687082094532</v>
      </c>
      <c r="Q44" s="38">
        <v>9.6</v>
      </c>
      <c r="R44" s="38">
        <v>9.5200987156388823</v>
      </c>
      <c r="S44" s="38">
        <v>9.24</v>
      </c>
      <c r="U44" s="38" t="s">
        <v>133</v>
      </c>
    </row>
    <row r="45" spans="2:23" ht="17.45" customHeight="1">
      <c r="B45" s="36" t="s">
        <v>134</v>
      </c>
      <c r="C45" s="36"/>
      <c r="D45" s="36"/>
      <c r="E45" s="36"/>
      <c r="H45" s="38">
        <v>9.5</v>
      </c>
      <c r="I45" s="38">
        <v>9.01</v>
      </c>
      <c r="J45" s="38">
        <v>8.9</v>
      </c>
      <c r="K45" s="38">
        <v>9</v>
      </c>
      <c r="L45" s="38">
        <v>9.06</v>
      </c>
      <c r="M45" s="38">
        <v>8.99</v>
      </c>
      <c r="N45" s="38">
        <v>9.01</v>
      </c>
      <c r="O45" s="38">
        <v>9.02</v>
      </c>
      <c r="P45" s="38">
        <v>9.01</v>
      </c>
      <c r="Q45" s="38">
        <v>8.57</v>
      </c>
      <c r="R45" s="38">
        <v>8.02</v>
      </c>
      <c r="S45" s="38">
        <v>8</v>
      </c>
      <c r="U45" s="38" t="s">
        <v>133</v>
      </c>
    </row>
    <row r="46" spans="2:23" ht="17.45" customHeight="1">
      <c r="I46" s="13"/>
      <c r="J46" s="13"/>
      <c r="K46" s="13"/>
      <c r="L46" s="13"/>
      <c r="M46" s="13"/>
      <c r="N46" s="13"/>
      <c r="O46" s="13"/>
      <c r="P46" s="13"/>
      <c r="Q46" s="13"/>
      <c r="R46" s="13"/>
      <c r="S46" s="13"/>
    </row>
    <row r="47" spans="2:23" ht="24.95" customHeight="1">
      <c r="B47" s="21" t="s">
        <v>151</v>
      </c>
      <c r="C47" s="20"/>
      <c r="D47" s="20"/>
      <c r="E47" s="20"/>
      <c r="F47" s="18"/>
      <c r="G47" s="18"/>
      <c r="H47" s="19">
        <v>44927</v>
      </c>
      <c r="I47" s="19">
        <v>44958</v>
      </c>
      <c r="J47" s="19">
        <v>44986</v>
      </c>
      <c r="K47" s="19">
        <v>45017</v>
      </c>
      <c r="L47" s="19">
        <v>45047</v>
      </c>
      <c r="M47" s="19">
        <v>45078</v>
      </c>
      <c r="N47" s="19">
        <v>45108</v>
      </c>
      <c r="O47" s="19">
        <v>45139</v>
      </c>
      <c r="P47" s="19">
        <v>45170</v>
      </c>
      <c r="Q47" s="19">
        <v>45200</v>
      </c>
      <c r="R47" s="19">
        <v>45231</v>
      </c>
      <c r="S47" s="19">
        <v>45261</v>
      </c>
      <c r="T47" s="18"/>
      <c r="U47" s="17">
        <v>2023</v>
      </c>
    </row>
    <row r="48" spans="2:23" ht="5.0999999999999996" customHeight="1">
      <c r="B48" s="16"/>
      <c r="C48" s="15"/>
      <c r="D48" s="15"/>
      <c r="E48" s="15"/>
      <c r="H48" s="14"/>
      <c r="I48" s="14"/>
      <c r="J48" s="14"/>
      <c r="K48" s="14"/>
      <c r="L48" s="14"/>
      <c r="M48" s="14"/>
      <c r="N48" s="14"/>
      <c r="O48" s="14"/>
      <c r="P48" s="14"/>
      <c r="Q48" s="14"/>
      <c r="R48" s="14"/>
      <c r="S48" s="14"/>
      <c r="U48" s="14"/>
    </row>
    <row r="49" spans="2:23" ht="5.0999999999999996" customHeight="1">
      <c r="B49" s="16"/>
      <c r="C49" s="15"/>
      <c r="D49" s="15"/>
      <c r="E49" s="15"/>
      <c r="H49" s="14"/>
      <c r="I49" s="14"/>
      <c r="J49" s="14"/>
      <c r="K49" s="14"/>
      <c r="L49" s="14"/>
      <c r="M49" s="14"/>
      <c r="N49" s="14"/>
      <c r="O49" s="14"/>
      <c r="P49" s="14"/>
      <c r="Q49" s="14"/>
      <c r="R49" s="14"/>
      <c r="S49" s="14"/>
      <c r="U49" s="14"/>
    </row>
    <row r="50" spans="2:23" ht="17.45" customHeight="1">
      <c r="B50" s="30" t="s">
        <v>148</v>
      </c>
      <c r="C50" s="30"/>
      <c r="D50" s="30"/>
      <c r="E50" s="30"/>
      <c r="H50" s="31">
        <v>484295.07549323159</v>
      </c>
      <c r="I50" s="31">
        <v>751694.09699040488</v>
      </c>
      <c r="J50" s="31">
        <v>465421.63130273699</v>
      </c>
      <c r="K50" s="31">
        <v>536704.57742864289</v>
      </c>
      <c r="L50" s="31">
        <v>588952.82000532374</v>
      </c>
      <c r="M50" s="31">
        <v>546150.28124309494</v>
      </c>
      <c r="N50" s="31">
        <v>719374.95903026545</v>
      </c>
      <c r="O50" s="31">
        <v>617787.32303958945</v>
      </c>
      <c r="P50" s="31">
        <v>670234.97161575384</v>
      </c>
      <c r="Q50" s="31">
        <v>435455.36393753334</v>
      </c>
      <c r="R50" s="31">
        <v>691763.31348405592</v>
      </c>
      <c r="S50" s="31">
        <v>798758.48961622687</v>
      </c>
      <c r="U50" s="31">
        <v>7309624.4431868596</v>
      </c>
      <c r="W50" s="40">
        <f>SUM(H50:U50)-SUM(H51:U53)</f>
        <v>0</v>
      </c>
    </row>
    <row r="51" spans="2:23" ht="17.45" customHeight="1">
      <c r="B51" s="32" t="s">
        <v>147</v>
      </c>
      <c r="C51" s="32"/>
      <c r="D51" s="32"/>
      <c r="E51" s="32"/>
      <c r="H51" s="33">
        <v>373193.59293305443</v>
      </c>
      <c r="I51" s="33">
        <v>363010.84048745502</v>
      </c>
      <c r="J51" s="33">
        <v>328009.08792589785</v>
      </c>
      <c r="K51" s="33">
        <v>379322.613652492</v>
      </c>
      <c r="L51" s="33">
        <v>349353.42623465875</v>
      </c>
      <c r="M51" s="33">
        <v>363369.43119568698</v>
      </c>
      <c r="N51" s="33">
        <v>366693.94334616134</v>
      </c>
      <c r="O51" s="33">
        <v>372553.20590450132</v>
      </c>
      <c r="P51" s="33">
        <v>366222.31731681427</v>
      </c>
      <c r="Q51" s="33">
        <v>351903.19490049168</v>
      </c>
      <c r="R51" s="33">
        <v>399529.79643543303</v>
      </c>
      <c r="S51" s="33">
        <v>615935.20609636034</v>
      </c>
      <c r="U51" s="33">
        <v>4629096.6564290067</v>
      </c>
      <c r="W51" s="40"/>
    </row>
    <row r="52" spans="2:23" ht="17.45" customHeight="1">
      <c r="B52" s="32" t="s">
        <v>146</v>
      </c>
      <c r="C52" s="32"/>
      <c r="D52" s="32"/>
      <c r="E52" s="32"/>
      <c r="H52" s="33">
        <v>111101.48256017714</v>
      </c>
      <c r="I52" s="33">
        <v>388683.25650294987</v>
      </c>
      <c r="J52" s="33">
        <v>137412.54337683914</v>
      </c>
      <c r="K52" s="33">
        <v>160413.50377615099</v>
      </c>
      <c r="L52" s="33">
        <v>239599.39377066499</v>
      </c>
      <c r="M52" s="33">
        <v>182780.85004740799</v>
      </c>
      <c r="N52" s="33">
        <v>352681.01568410406</v>
      </c>
      <c r="O52" s="33">
        <v>245234.1171350881</v>
      </c>
      <c r="P52" s="33">
        <v>72736.814298939586</v>
      </c>
      <c r="Q52" s="33">
        <v>83552.169037041691</v>
      </c>
      <c r="R52" s="33">
        <v>96777.437048622887</v>
      </c>
      <c r="S52" s="33">
        <v>96180.223519866558</v>
      </c>
      <c r="U52" s="33">
        <v>2167152.8067578529</v>
      </c>
      <c r="W52" s="40"/>
    </row>
    <row r="53" spans="2:23" ht="17.45" customHeight="1">
      <c r="B53" s="32" t="s">
        <v>145</v>
      </c>
      <c r="C53" s="32"/>
      <c r="D53" s="32"/>
      <c r="E53" s="32"/>
      <c r="H53" s="33"/>
      <c r="I53" s="33"/>
      <c r="J53" s="33"/>
      <c r="K53" s="33">
        <v>-3031.54000000001</v>
      </c>
      <c r="L53" s="33"/>
      <c r="M53" s="33"/>
      <c r="N53" s="33"/>
      <c r="O53" s="33"/>
      <c r="P53" s="33">
        <v>231275.84</v>
      </c>
      <c r="Q53" s="33"/>
      <c r="R53" s="33">
        <v>195456.08</v>
      </c>
      <c r="S53" s="33">
        <v>86643.059999999896</v>
      </c>
      <c r="U53" s="33">
        <v>513374.97999999986</v>
      </c>
      <c r="W53" s="40"/>
    </row>
    <row r="54" spans="2:23" ht="17.45" customHeight="1">
      <c r="B54" s="30" t="s">
        <v>144</v>
      </c>
      <c r="C54" s="30"/>
      <c r="D54" s="30"/>
      <c r="E54" s="30"/>
      <c r="H54" s="31">
        <v>18411.490000000002</v>
      </c>
      <c r="I54" s="31">
        <v>18605.850000000009</v>
      </c>
      <c r="J54" s="31">
        <v>22158.579999999991</v>
      </c>
      <c r="K54" s="31">
        <v>21049.64</v>
      </c>
      <c r="L54" s="31">
        <v>14896.459999999995</v>
      </c>
      <c r="M54" s="31">
        <v>15757.879999999994</v>
      </c>
      <c r="N54" s="31">
        <v>11400.36</v>
      </c>
      <c r="O54" s="31">
        <v>10806.92</v>
      </c>
      <c r="P54" s="31">
        <v>9693.4599999999991</v>
      </c>
      <c r="Q54" s="31">
        <v>11297.26</v>
      </c>
      <c r="R54" s="31">
        <v>37702.659999999996</v>
      </c>
      <c r="S54" s="31">
        <v>147136.29999999999</v>
      </c>
      <c r="U54" s="31">
        <v>338916.86</v>
      </c>
      <c r="W54" s="40">
        <f>SUM(H54:U54)-SUM(H55:U56)</f>
        <v>0</v>
      </c>
    </row>
    <row r="55" spans="2:23" ht="17.45" customHeight="1">
      <c r="B55" s="32" t="s">
        <v>143</v>
      </c>
      <c r="C55" s="32"/>
      <c r="D55" s="32"/>
      <c r="E55" s="32"/>
      <c r="H55" s="33"/>
      <c r="I55" s="33"/>
      <c r="J55" s="33"/>
      <c r="K55" s="33"/>
      <c r="L55" s="33"/>
      <c r="M55" s="33"/>
      <c r="N55" s="33"/>
      <c r="O55" s="33"/>
      <c r="P55" s="33"/>
      <c r="Q55" s="33">
        <v>161.28</v>
      </c>
      <c r="R55" s="33">
        <v>5122.6199999999953</v>
      </c>
      <c r="S55" s="33">
        <v>20283.899999999994</v>
      </c>
      <c r="U55" s="33">
        <v>25567.799999999988</v>
      </c>
      <c r="W55" s="40"/>
    </row>
    <row r="56" spans="2:23" ht="17.45" customHeight="1">
      <c r="B56" s="32" t="s">
        <v>142</v>
      </c>
      <c r="C56" s="32"/>
      <c r="D56" s="32"/>
      <c r="E56" s="32"/>
      <c r="H56" s="33">
        <v>18411.490000000002</v>
      </c>
      <c r="I56" s="33">
        <v>18605.850000000009</v>
      </c>
      <c r="J56" s="33">
        <v>22158.579999999991</v>
      </c>
      <c r="K56" s="33">
        <v>21049.64</v>
      </c>
      <c r="L56" s="33">
        <v>14896.459999999995</v>
      </c>
      <c r="M56" s="33">
        <v>15757.879999999994</v>
      </c>
      <c r="N56" s="33">
        <v>11400.36</v>
      </c>
      <c r="O56" s="33">
        <v>10806.92</v>
      </c>
      <c r="P56" s="33">
        <v>9693.4599999999991</v>
      </c>
      <c r="Q56" s="33">
        <v>11135.98</v>
      </c>
      <c r="R56" s="33">
        <v>32580.04</v>
      </c>
      <c r="S56" s="33">
        <v>126852.4</v>
      </c>
      <c r="U56" s="33">
        <v>313349.06</v>
      </c>
      <c r="W56" s="40"/>
    </row>
    <row r="57" spans="2:23" ht="17.45" customHeight="1">
      <c r="B57" s="30" t="s">
        <v>141</v>
      </c>
      <c r="C57" s="30"/>
      <c r="D57" s="30"/>
      <c r="E57" s="30"/>
      <c r="H57" s="31">
        <v>-64282.439999999995</v>
      </c>
      <c r="I57" s="31">
        <v>-49295.4</v>
      </c>
      <c r="J57" s="31">
        <v>-48726.62</v>
      </c>
      <c r="K57" s="31">
        <v>-49157.73</v>
      </c>
      <c r="L57" s="31">
        <v>-54788.770000000004</v>
      </c>
      <c r="M57" s="31">
        <v>-62826.320000000007</v>
      </c>
      <c r="N57" s="31">
        <v>-51865.22</v>
      </c>
      <c r="O57" s="31">
        <v>-51312.289999999994</v>
      </c>
      <c r="P57" s="31">
        <v>-50446.68</v>
      </c>
      <c r="Q57" s="31">
        <v>-74140.84</v>
      </c>
      <c r="R57" s="31">
        <v>-56348.959999999999</v>
      </c>
      <c r="S57" s="31">
        <v>-75098.05</v>
      </c>
      <c r="U57" s="31">
        <v>-688289.32</v>
      </c>
      <c r="W57" s="40">
        <f>SUM(H57:U57)-SUM(H58:U58)</f>
        <v>0</v>
      </c>
    </row>
    <row r="58" spans="2:23" ht="17.45" customHeight="1">
      <c r="B58" s="32" t="s">
        <v>140</v>
      </c>
      <c r="C58" s="32"/>
      <c r="D58" s="32"/>
      <c r="E58" s="32"/>
      <c r="H58" s="33">
        <v>-64282.439999999995</v>
      </c>
      <c r="I58" s="33">
        <v>-49295.4</v>
      </c>
      <c r="J58" s="33">
        <v>-48726.62</v>
      </c>
      <c r="K58" s="33">
        <v>-49157.729999999996</v>
      </c>
      <c r="L58" s="33">
        <v>-54788.770000000004</v>
      </c>
      <c r="M58" s="33">
        <v>-62826.320000000007</v>
      </c>
      <c r="N58" s="33">
        <v>-51865.22</v>
      </c>
      <c r="O58" s="33">
        <v>-51312.289999999994</v>
      </c>
      <c r="P58" s="33">
        <v>-50446.68</v>
      </c>
      <c r="Q58" s="33">
        <v>-74140.84</v>
      </c>
      <c r="R58" s="33">
        <v>-56348.959999999999</v>
      </c>
      <c r="S58" s="33">
        <v>-75098.05</v>
      </c>
      <c r="U58" s="33">
        <v>-688289.32</v>
      </c>
      <c r="W58" s="40"/>
    </row>
    <row r="59" spans="2:23" ht="17.45" customHeight="1">
      <c r="B59" s="30" t="s">
        <v>139</v>
      </c>
      <c r="C59" s="30"/>
      <c r="D59" s="30"/>
      <c r="E59" s="30"/>
      <c r="H59" s="31">
        <v>438424.12549323158</v>
      </c>
      <c r="I59" s="31">
        <v>721004.54699040484</v>
      </c>
      <c r="J59" s="31">
        <v>438853.59130273701</v>
      </c>
      <c r="K59" s="31">
        <v>508596.48742864293</v>
      </c>
      <c r="L59" s="31">
        <v>549060.51000532368</v>
      </c>
      <c r="M59" s="31">
        <v>499081.84124309494</v>
      </c>
      <c r="N59" s="31">
        <v>678910.09903026547</v>
      </c>
      <c r="O59" s="31">
        <v>577281.95303958945</v>
      </c>
      <c r="P59" s="31">
        <v>629481.75161575375</v>
      </c>
      <c r="Q59" s="31">
        <v>372611.78393753339</v>
      </c>
      <c r="R59" s="31">
        <v>673117.01348405599</v>
      </c>
      <c r="S59" s="31">
        <v>870796.73961622687</v>
      </c>
      <c r="U59" s="31">
        <v>6960251.9831868596</v>
      </c>
      <c r="W59" s="40">
        <f>SUM(H50:U50,H54:U54,H57:U57)-SUM(H59:U59)</f>
        <v>0</v>
      </c>
    </row>
    <row r="60" spans="2:23" ht="17.45" customHeight="1">
      <c r="B60" s="34" t="s">
        <v>138</v>
      </c>
      <c r="C60" s="34"/>
      <c r="D60" s="34"/>
      <c r="E60" s="34"/>
      <c r="H60" s="35">
        <v>552750</v>
      </c>
      <c r="I60" s="35">
        <v>552749.99999999977</v>
      </c>
      <c r="J60" s="35">
        <v>552750</v>
      </c>
      <c r="K60" s="35">
        <v>552750</v>
      </c>
      <c r="L60" s="35">
        <v>552750</v>
      </c>
      <c r="M60" s="35">
        <v>552750</v>
      </c>
      <c r="N60" s="35">
        <v>552750</v>
      </c>
      <c r="O60" s="35">
        <v>552749.99999999977</v>
      </c>
      <c r="P60" s="35">
        <v>552750</v>
      </c>
      <c r="Q60" s="35">
        <v>552750</v>
      </c>
      <c r="R60" s="35">
        <v>552750</v>
      </c>
      <c r="S60" s="35">
        <v>502500</v>
      </c>
      <c r="U60" s="35">
        <v>6582750</v>
      </c>
    </row>
    <row r="61" spans="2:23" ht="17.45" customHeight="1">
      <c r="B61" s="36" t="s">
        <v>137</v>
      </c>
      <c r="C61" s="36"/>
      <c r="D61" s="36"/>
      <c r="E61" s="36"/>
      <c r="H61" s="37">
        <v>8.7248582187707771E-2</v>
      </c>
      <c r="I61" s="37">
        <v>0.14348349193838902</v>
      </c>
      <c r="J61" s="37">
        <v>8.7334048020445171E-2</v>
      </c>
      <c r="K61" s="38">
        <v>0.10121323132908316</v>
      </c>
      <c r="L61" s="37">
        <v>0.10926577313538779</v>
      </c>
      <c r="M61" s="37">
        <v>9.9319769401610927E-2</v>
      </c>
      <c r="N61" s="37">
        <v>0.13510648736920705</v>
      </c>
      <c r="O61" s="37">
        <v>0.11488198070439591</v>
      </c>
      <c r="P61" s="37">
        <v>0.12527000032154303</v>
      </c>
      <c r="Q61" s="37">
        <v>7.4151598793538984E-2</v>
      </c>
      <c r="R61" s="37">
        <v>0.13395363452419023</v>
      </c>
      <c r="S61" s="37">
        <v>0.17329288350571678</v>
      </c>
      <c r="U61" s="37">
        <v>0.11542706439779205</v>
      </c>
    </row>
    <row r="62" spans="2:23" ht="17.45" customHeight="1">
      <c r="B62" s="36" t="s">
        <v>136</v>
      </c>
      <c r="C62" s="36"/>
      <c r="D62" s="36"/>
      <c r="E62" s="36"/>
      <c r="H62" s="37">
        <v>0.11</v>
      </c>
      <c r="I62" s="37">
        <v>0.10999999999999996</v>
      </c>
      <c r="J62" s="37">
        <v>0.11</v>
      </c>
      <c r="K62" s="37">
        <v>0.11</v>
      </c>
      <c r="L62" s="37">
        <v>0.11</v>
      </c>
      <c r="M62" s="37">
        <v>0.11</v>
      </c>
      <c r="N62" s="37">
        <v>0.11</v>
      </c>
      <c r="O62" s="37">
        <v>0.10999999999999996</v>
      </c>
      <c r="P62" s="37">
        <v>0.11</v>
      </c>
      <c r="Q62" s="37">
        <v>0.11</v>
      </c>
      <c r="R62" s="37">
        <v>0.11</v>
      </c>
      <c r="S62" s="37">
        <v>0.1</v>
      </c>
      <c r="U62" s="37">
        <v>0.10916666666666668</v>
      </c>
    </row>
    <row r="63" spans="2:23" ht="17.45" customHeight="1">
      <c r="B63" s="36" t="s">
        <v>135</v>
      </c>
      <c r="C63" s="36"/>
      <c r="D63" s="36"/>
      <c r="E63" s="36"/>
      <c r="H63" s="39">
        <v>9.65</v>
      </c>
      <c r="I63" s="38">
        <v>9.75</v>
      </c>
      <c r="J63" s="38">
        <v>9.8699999999999992</v>
      </c>
      <c r="K63" s="38">
        <v>9.91</v>
      </c>
      <c r="L63" s="38">
        <v>10.039999999999999</v>
      </c>
      <c r="M63" s="38">
        <v>10.09</v>
      </c>
      <c r="N63" s="38">
        <v>9.91</v>
      </c>
      <c r="O63" s="38">
        <v>9.84</v>
      </c>
      <c r="P63" s="38">
        <v>9.7100000000000009</v>
      </c>
      <c r="Q63" s="38">
        <v>9.73</v>
      </c>
      <c r="R63" s="38">
        <v>9.98</v>
      </c>
      <c r="S63" s="38">
        <v>10.01</v>
      </c>
      <c r="U63" s="38" t="s">
        <v>133</v>
      </c>
    </row>
    <row r="64" spans="2:23" ht="17.45" customHeight="1">
      <c r="B64" s="36" t="s">
        <v>134</v>
      </c>
      <c r="C64" s="36"/>
      <c r="D64" s="36"/>
      <c r="E64" s="36"/>
      <c r="H64" s="38">
        <v>9.4499999999999993</v>
      </c>
      <c r="I64" s="38">
        <v>8.86</v>
      </c>
      <c r="J64" s="38">
        <v>8.5500000000000007</v>
      </c>
      <c r="K64" s="38">
        <v>8.6999999999999993</v>
      </c>
      <c r="L64" s="38">
        <v>8.77</v>
      </c>
      <c r="M64" s="38">
        <v>8.75</v>
      </c>
      <c r="N64" s="38">
        <v>8.76</v>
      </c>
      <c r="O64" s="38">
        <v>9.18</v>
      </c>
      <c r="P64" s="38">
        <v>9.69</v>
      </c>
      <c r="Q64" s="38">
        <v>10.24</v>
      </c>
      <c r="R64" s="38">
        <v>10.17</v>
      </c>
      <c r="S64" s="38">
        <v>9.7200000000000006</v>
      </c>
      <c r="U64" s="38" t="s">
        <v>133</v>
      </c>
    </row>
    <row r="65" spans="2:23" ht="24" customHeight="1">
      <c r="B65" s="16"/>
      <c r="C65" s="15"/>
      <c r="D65" s="15"/>
      <c r="E65" s="15"/>
      <c r="H65" s="14"/>
      <c r="I65" s="14"/>
      <c r="J65" s="14"/>
      <c r="K65" s="14"/>
      <c r="L65" s="14"/>
      <c r="M65" s="14"/>
      <c r="N65" s="14"/>
      <c r="O65" s="14"/>
      <c r="P65" s="14"/>
      <c r="Q65" s="14"/>
      <c r="R65" s="14"/>
      <c r="S65" s="14"/>
      <c r="U65" s="14"/>
    </row>
    <row r="66" spans="2:23" ht="24.75" customHeight="1">
      <c r="B66" s="21" t="s">
        <v>150</v>
      </c>
      <c r="C66" s="20"/>
      <c r="D66" s="20"/>
      <c r="E66" s="20"/>
      <c r="F66" s="18"/>
      <c r="G66" s="18"/>
      <c r="H66" s="19">
        <v>44562</v>
      </c>
      <c r="I66" s="19">
        <v>44593</v>
      </c>
      <c r="J66" s="19">
        <v>44621</v>
      </c>
      <c r="K66" s="19">
        <v>44652</v>
      </c>
      <c r="L66" s="19">
        <v>44682</v>
      </c>
      <c r="M66" s="19">
        <v>44713</v>
      </c>
      <c r="N66" s="19">
        <v>44743</v>
      </c>
      <c r="O66" s="19">
        <v>44774</v>
      </c>
      <c r="P66" s="19">
        <v>44805</v>
      </c>
      <c r="Q66" s="19">
        <v>44835</v>
      </c>
      <c r="R66" s="19">
        <v>44866</v>
      </c>
      <c r="S66" s="19">
        <v>44896</v>
      </c>
      <c r="U66" s="17">
        <v>2022</v>
      </c>
    </row>
    <row r="67" spans="2:23" ht="5.0999999999999996" customHeight="1">
      <c r="B67" s="16"/>
      <c r="C67" s="15"/>
      <c r="D67" s="15"/>
      <c r="E67" s="15"/>
      <c r="H67" s="14"/>
      <c r="I67" s="14"/>
      <c r="J67" s="14"/>
      <c r="K67" s="14"/>
      <c r="L67" s="14"/>
      <c r="M67" s="14"/>
      <c r="N67" s="14"/>
      <c r="O67" s="14"/>
      <c r="P67" s="14"/>
      <c r="Q67" s="14"/>
      <c r="R67" s="14"/>
      <c r="S67" s="14"/>
      <c r="T67" s="14"/>
      <c r="U67" s="14"/>
    </row>
    <row r="68" spans="2:23" ht="4.5" customHeight="1">
      <c r="B68" s="16"/>
      <c r="C68" s="15"/>
      <c r="D68" s="15"/>
      <c r="E68" s="15"/>
      <c r="H68" s="14"/>
      <c r="I68" s="14"/>
      <c r="J68" s="14"/>
      <c r="K68" s="14"/>
      <c r="L68" s="14"/>
      <c r="M68" s="14"/>
      <c r="N68" s="14"/>
      <c r="O68" s="14"/>
      <c r="P68" s="14"/>
      <c r="Q68" s="14"/>
      <c r="R68" s="14"/>
      <c r="S68" s="14"/>
      <c r="T68" s="14"/>
      <c r="U68" s="14"/>
    </row>
    <row r="69" spans="2:23" ht="17.45" customHeight="1">
      <c r="B69" s="30" t="s">
        <v>148</v>
      </c>
      <c r="C69" s="30"/>
      <c r="D69" s="30"/>
      <c r="E69" s="30"/>
      <c r="H69" s="31">
        <v>585285.59733655583</v>
      </c>
      <c r="I69" s="31">
        <v>622601.06000000006</v>
      </c>
      <c r="J69" s="31">
        <v>548836.21198502078</v>
      </c>
      <c r="K69" s="31">
        <v>625082.794352383</v>
      </c>
      <c r="L69" s="31">
        <v>604207.40308225597</v>
      </c>
      <c r="M69" s="31">
        <v>672980.31881585601</v>
      </c>
      <c r="N69" s="31">
        <v>1145857.5130537702</v>
      </c>
      <c r="O69" s="31">
        <v>587545.17067690846</v>
      </c>
      <c r="P69" s="31">
        <v>398399.16036225663</v>
      </c>
      <c r="Q69" s="31">
        <v>438521.99026460596</v>
      </c>
      <c r="R69" s="31">
        <v>435851.57823125378</v>
      </c>
      <c r="S69" s="31">
        <v>456787.33698755637</v>
      </c>
      <c r="U69" s="31">
        <v>7121956.1351484228</v>
      </c>
      <c r="W69" s="40">
        <f>SUM(H69:U69)-SUM(H70:U72)</f>
        <v>0</v>
      </c>
    </row>
    <row r="70" spans="2:23" ht="17.45" customHeight="1">
      <c r="B70" s="32" t="s">
        <v>147</v>
      </c>
      <c r="C70" s="32"/>
      <c r="D70" s="32"/>
      <c r="E70" s="32"/>
      <c r="H70" s="33">
        <v>288804.54733655578</v>
      </c>
      <c r="I70" s="33">
        <v>293355.7</v>
      </c>
      <c r="J70" s="33">
        <v>325164.17146581801</v>
      </c>
      <c r="K70" s="33">
        <v>353008.11357949302</v>
      </c>
      <c r="L70" s="33">
        <v>332585.39854404837</v>
      </c>
      <c r="M70" s="33">
        <v>346080.30814515793</v>
      </c>
      <c r="N70" s="33">
        <v>345740.44721600157</v>
      </c>
      <c r="O70" s="33">
        <v>291111.02285901498</v>
      </c>
      <c r="P70" s="33">
        <v>343622.47974047012</v>
      </c>
      <c r="Q70" s="33">
        <v>333109.70123362698</v>
      </c>
      <c r="R70" s="33">
        <v>326831.32991407375</v>
      </c>
      <c r="S70" s="33">
        <v>342720.44965815952</v>
      </c>
      <c r="U70" s="33">
        <v>3922133.6696924204</v>
      </c>
      <c r="W70" s="40"/>
    </row>
    <row r="71" spans="2:23" ht="17.45" customHeight="1">
      <c r="B71" s="32" t="s">
        <v>146</v>
      </c>
      <c r="C71" s="32"/>
      <c r="D71" s="32"/>
      <c r="E71" s="32"/>
      <c r="H71" s="33">
        <v>296481.05</v>
      </c>
      <c r="I71" s="33">
        <v>329245.36000000004</v>
      </c>
      <c r="J71" s="33">
        <v>223672.04051920274</v>
      </c>
      <c r="K71" s="33">
        <v>272074.68077288999</v>
      </c>
      <c r="L71" s="33">
        <v>271622.00453820755</v>
      </c>
      <c r="M71" s="33">
        <v>326900.01067069813</v>
      </c>
      <c r="N71" s="33">
        <v>800117.0658377686</v>
      </c>
      <c r="O71" s="33">
        <v>296434.14781789348</v>
      </c>
      <c r="P71" s="33">
        <v>54776.680621786487</v>
      </c>
      <c r="Q71" s="33">
        <v>105412.28903097899</v>
      </c>
      <c r="R71" s="33">
        <v>109020.24831718</v>
      </c>
      <c r="S71" s="33">
        <v>114066.88732939684</v>
      </c>
      <c r="U71" s="33">
        <v>3199822.4654560029</v>
      </c>
      <c r="W71" s="40"/>
    </row>
    <row r="72" spans="2:23" ht="17.45" customHeight="1">
      <c r="B72" s="32" t="s">
        <v>145</v>
      </c>
      <c r="C72" s="32"/>
      <c r="D72" s="32"/>
      <c r="E72" s="32"/>
      <c r="H72" s="33"/>
      <c r="I72" s="33"/>
      <c r="J72" s="33"/>
      <c r="K72" s="33"/>
      <c r="L72" s="33"/>
      <c r="M72" s="33"/>
      <c r="N72" s="33"/>
      <c r="O72" s="33"/>
      <c r="P72" s="33"/>
      <c r="Q72" s="33"/>
      <c r="R72" s="33"/>
      <c r="S72" s="33"/>
      <c r="U72" s="33"/>
      <c r="W72" s="40"/>
    </row>
    <row r="73" spans="2:23" ht="17.45" customHeight="1">
      <c r="B73" s="30" t="s">
        <v>144</v>
      </c>
      <c r="C73" s="30"/>
      <c r="D73" s="30"/>
      <c r="E73" s="30"/>
      <c r="H73" s="31">
        <v>18057</v>
      </c>
      <c r="I73" s="31">
        <v>21206.069999999996</v>
      </c>
      <c r="J73" s="31">
        <v>14301.04</v>
      </c>
      <c r="K73" s="31">
        <v>18242.960000000006</v>
      </c>
      <c r="L73" s="31">
        <v>25045.509999999987</v>
      </c>
      <c r="M73" s="31">
        <v>30426.140000000014</v>
      </c>
      <c r="N73" s="31">
        <v>35002.080000000002</v>
      </c>
      <c r="O73" s="31">
        <v>39383.72</v>
      </c>
      <c r="P73" s="31">
        <v>38390.100000000006</v>
      </c>
      <c r="Q73" s="31">
        <v>38478.14</v>
      </c>
      <c r="R73" s="31">
        <v>15866.599999999995</v>
      </c>
      <c r="S73" s="31">
        <v>23135.33</v>
      </c>
      <c r="U73" s="31">
        <v>296926.7</v>
      </c>
      <c r="W73" s="40">
        <f>SUM(H73:U73)-SUM(H74:U75)</f>
        <v>0</v>
      </c>
    </row>
    <row r="74" spans="2:23" ht="17.45" customHeight="1">
      <c r="B74" s="32" t="s">
        <v>143</v>
      </c>
      <c r="C74" s="32"/>
      <c r="D74" s="32"/>
      <c r="E74" s="32"/>
      <c r="H74" s="33"/>
      <c r="I74" s="33"/>
      <c r="J74" s="33"/>
      <c r="K74" s="33">
        <v>4793.58</v>
      </c>
      <c r="L74" s="33">
        <v>6162</v>
      </c>
      <c r="M74" s="33">
        <v>6418.7500000000018</v>
      </c>
      <c r="N74" s="33">
        <v>6213.35</v>
      </c>
      <c r="O74" s="33">
        <v>5648.5</v>
      </c>
      <c r="P74" s="33">
        <v>5648.5</v>
      </c>
      <c r="Q74" s="33">
        <v>5135</v>
      </c>
      <c r="R74" s="33">
        <v>-19411.689999999999</v>
      </c>
      <c r="S74" s="33"/>
      <c r="U74" s="33"/>
      <c r="W74" s="40"/>
    </row>
    <row r="75" spans="2:23" ht="17.45" customHeight="1">
      <c r="B75" s="32" t="s">
        <v>142</v>
      </c>
      <c r="C75" s="32"/>
      <c r="D75" s="32"/>
      <c r="E75" s="32"/>
      <c r="H75" s="33">
        <v>18057</v>
      </c>
      <c r="I75" s="33">
        <v>21206.069999999996</v>
      </c>
      <c r="J75" s="33">
        <v>14301.04</v>
      </c>
      <c r="K75" s="33">
        <v>13449.380000000005</v>
      </c>
      <c r="L75" s="33">
        <v>18883.509999999987</v>
      </c>
      <c r="M75" s="33">
        <v>24007.390000000014</v>
      </c>
      <c r="N75" s="33">
        <v>28788.730000000003</v>
      </c>
      <c r="O75" s="33">
        <v>33735.22</v>
      </c>
      <c r="P75" s="33">
        <v>32741.600000000006</v>
      </c>
      <c r="Q75" s="33">
        <v>33343.14</v>
      </c>
      <c r="R75" s="33">
        <v>35278.289999999994</v>
      </c>
      <c r="S75" s="33">
        <v>23135.33</v>
      </c>
      <c r="U75" s="33">
        <v>296926.7</v>
      </c>
      <c r="W75" s="40"/>
    </row>
    <row r="76" spans="2:23" ht="17.45" customHeight="1">
      <c r="B76" s="30" t="s">
        <v>141</v>
      </c>
      <c r="C76" s="30"/>
      <c r="D76" s="30"/>
      <c r="E76" s="30"/>
      <c r="H76" s="31">
        <v>-49807</v>
      </c>
      <c r="I76" s="31">
        <v>-49646.03</v>
      </c>
      <c r="J76" s="31">
        <v>-51816.32</v>
      </c>
      <c r="K76" s="31">
        <v>-50651.39</v>
      </c>
      <c r="L76" s="31">
        <v>-55633.04</v>
      </c>
      <c r="M76" s="31">
        <v>-51410.63</v>
      </c>
      <c r="N76" s="31">
        <v>-51486.38</v>
      </c>
      <c r="O76" s="31">
        <v>-50949.38</v>
      </c>
      <c r="P76" s="31">
        <v>-50450.800000000017</v>
      </c>
      <c r="Q76" s="31">
        <v>-63718.630000000005</v>
      </c>
      <c r="R76" s="31">
        <v>-63951.199999999997</v>
      </c>
      <c r="S76" s="31">
        <v>-50347.459999999992</v>
      </c>
      <c r="U76" s="31">
        <v>-644129.21</v>
      </c>
      <c r="W76" s="40">
        <f>SUM(H76:U76)-SUM(H77:U77)</f>
        <v>0</v>
      </c>
    </row>
    <row r="77" spans="2:23" ht="17.45" customHeight="1">
      <c r="B77" s="32" t="s">
        <v>140</v>
      </c>
      <c r="C77" s="32"/>
      <c r="D77" s="32"/>
      <c r="E77" s="32"/>
      <c r="H77" s="33">
        <v>-49807</v>
      </c>
      <c r="I77" s="33">
        <v>-49646.03</v>
      </c>
      <c r="J77" s="33">
        <v>-51816.32</v>
      </c>
      <c r="K77" s="33">
        <v>-50651.389999999992</v>
      </c>
      <c r="L77" s="33">
        <v>-55633.04</v>
      </c>
      <c r="M77" s="33">
        <v>-51410.63</v>
      </c>
      <c r="N77" s="33">
        <v>-51486.38</v>
      </c>
      <c r="O77" s="33">
        <v>-50949.38</v>
      </c>
      <c r="P77" s="33">
        <v>-50450.800000000017</v>
      </c>
      <c r="Q77" s="33">
        <v>-63718.630000000005</v>
      </c>
      <c r="R77" s="33">
        <v>-63951.199999999997</v>
      </c>
      <c r="S77" s="33">
        <v>-50347.459999999992</v>
      </c>
      <c r="U77" s="33">
        <v>-644129.21</v>
      </c>
      <c r="W77" s="40"/>
    </row>
    <row r="78" spans="2:23" ht="17.45" customHeight="1">
      <c r="B78" s="30" t="s">
        <v>139</v>
      </c>
      <c r="C78" s="30"/>
      <c r="D78" s="30"/>
      <c r="E78" s="30"/>
      <c r="H78" s="31">
        <v>553535.59733655583</v>
      </c>
      <c r="I78" s="31">
        <v>594161.1</v>
      </c>
      <c r="J78" s="31">
        <v>511320.93198502081</v>
      </c>
      <c r="K78" s="31">
        <v>592674.36435238295</v>
      </c>
      <c r="L78" s="31">
        <v>573619.87308225594</v>
      </c>
      <c r="M78" s="31">
        <v>651995.82881585602</v>
      </c>
      <c r="N78" s="31">
        <v>1129373.2130537704</v>
      </c>
      <c r="O78" s="31">
        <v>575979.51067690842</v>
      </c>
      <c r="P78" s="31">
        <v>386338.46036225662</v>
      </c>
      <c r="Q78" s="31">
        <v>413281.50026460597</v>
      </c>
      <c r="R78" s="31">
        <v>387766.97823125374</v>
      </c>
      <c r="S78" s="31">
        <v>429575.20698755642</v>
      </c>
      <c r="U78" s="31">
        <v>6774753.625148423</v>
      </c>
      <c r="W78" s="40">
        <f>SUM(H69:U69,H73:U73,H76:U76)-SUM(H78:U78)</f>
        <v>0</v>
      </c>
    </row>
    <row r="79" spans="2:23" ht="17.45" customHeight="1">
      <c r="B79" s="34" t="s">
        <v>138</v>
      </c>
      <c r="C79" s="34"/>
      <c r="D79" s="34"/>
      <c r="E79" s="34"/>
      <c r="H79" s="35">
        <v>527625.22000000032</v>
      </c>
      <c r="I79" s="35">
        <v>529161.10000000009</v>
      </c>
      <c r="J79" s="35">
        <v>552749.99999999965</v>
      </c>
      <c r="K79" s="35">
        <v>552750</v>
      </c>
      <c r="L79" s="35">
        <v>552750</v>
      </c>
      <c r="M79" s="35">
        <v>603000.00000000012</v>
      </c>
      <c r="N79" s="35">
        <v>552750</v>
      </c>
      <c r="O79" s="35">
        <v>552749.99999999988</v>
      </c>
      <c r="P79" s="35">
        <v>552749.99999999988</v>
      </c>
      <c r="Q79" s="35">
        <v>552750</v>
      </c>
      <c r="R79" s="35">
        <v>552750</v>
      </c>
      <c r="S79" s="35">
        <v>552750</v>
      </c>
      <c r="U79" s="35">
        <v>6634536.3199999994</v>
      </c>
    </row>
    <row r="80" spans="2:23" ht="17.45" customHeight="1">
      <c r="B80" s="36" t="s">
        <v>137</v>
      </c>
      <c r="C80" s="36"/>
      <c r="D80" s="36"/>
      <c r="E80" s="36"/>
      <c r="H80" s="37">
        <v>0.11015633777841907</v>
      </c>
      <c r="I80" s="37">
        <v>0.11824101492537313</v>
      </c>
      <c r="J80" s="37">
        <v>0.1017554093502529</v>
      </c>
      <c r="K80" s="43">
        <v>1.1794514713480257</v>
      </c>
      <c r="L80" s="43">
        <v>1.1415320857358326</v>
      </c>
      <c r="M80" s="43">
        <v>1.2975041369469771</v>
      </c>
      <c r="N80" s="37">
        <v>0.22475088816990454</v>
      </c>
      <c r="O80" s="37">
        <v>0.11462278819440963</v>
      </c>
      <c r="P80" s="37">
        <v>7.6883275693981415E-2</v>
      </c>
      <c r="Q80" s="37">
        <v>8.2245074679523578E-2</v>
      </c>
      <c r="R80" s="37">
        <v>7.7167557856965913E-2</v>
      </c>
      <c r="S80" s="37">
        <v>8.5487603380608249E-2</v>
      </c>
      <c r="U80" s="37">
        <v>0.11235080638720436</v>
      </c>
    </row>
    <row r="81" spans="2:23" ht="17.45" customHeight="1">
      <c r="B81" s="36" t="s">
        <v>136</v>
      </c>
      <c r="C81" s="36"/>
      <c r="D81" s="36"/>
      <c r="E81" s="36"/>
      <c r="H81" s="37">
        <v>0.10500004378109459</v>
      </c>
      <c r="I81" s="37">
        <v>0.10530569154228858</v>
      </c>
      <c r="J81" s="37">
        <v>0.10999999999999993</v>
      </c>
      <c r="K81" s="37">
        <v>0.11</v>
      </c>
      <c r="L81" s="37">
        <v>0.11</v>
      </c>
      <c r="M81" s="37">
        <v>0.12000000000000002</v>
      </c>
      <c r="N81" s="37">
        <v>0.11</v>
      </c>
      <c r="O81" s="37">
        <v>0.10999999999999997</v>
      </c>
      <c r="P81" s="37">
        <v>0.10999999999999997</v>
      </c>
      <c r="Q81" s="37">
        <v>0.11</v>
      </c>
      <c r="R81" s="37">
        <v>0.11</v>
      </c>
      <c r="S81" s="37">
        <v>0.11</v>
      </c>
      <c r="U81" s="37">
        <v>0.11002547794361528</v>
      </c>
    </row>
    <row r="82" spans="2:23" ht="17.45" customHeight="1">
      <c r="B82" s="36" t="s">
        <v>135</v>
      </c>
      <c r="C82" s="36"/>
      <c r="D82" s="36"/>
      <c r="E82" s="36"/>
      <c r="H82" s="39">
        <v>10.16</v>
      </c>
      <c r="I82" s="38">
        <v>10.029999999999999</v>
      </c>
      <c r="J82" s="38">
        <v>10.199999999999999</v>
      </c>
      <c r="K82" s="38">
        <v>10.14</v>
      </c>
      <c r="L82" s="38">
        <v>10.19</v>
      </c>
      <c r="M82" s="38">
        <v>10.119999999999999</v>
      </c>
      <c r="N82" s="38">
        <v>9.9</v>
      </c>
      <c r="O82" s="38">
        <v>9.92</v>
      </c>
      <c r="P82" s="38">
        <v>9.92</v>
      </c>
      <c r="Q82" s="38">
        <v>9.9499999999999993</v>
      </c>
      <c r="R82" s="38">
        <v>9.8000000000000007</v>
      </c>
      <c r="S82" s="38">
        <v>9.76</v>
      </c>
      <c r="U82" s="38" t="s">
        <v>133</v>
      </c>
    </row>
    <row r="83" spans="2:23" ht="17.45" customHeight="1">
      <c r="B83" s="36" t="s">
        <v>134</v>
      </c>
      <c r="C83" s="36"/>
      <c r="D83" s="36"/>
      <c r="E83" s="36"/>
      <c r="H83" s="38">
        <v>9.98</v>
      </c>
      <c r="I83" s="38">
        <v>9.98</v>
      </c>
      <c r="J83" s="38">
        <v>9.9584299999999999</v>
      </c>
      <c r="K83" s="38">
        <v>9.8979999999999997</v>
      </c>
      <c r="L83" s="38">
        <v>9.9480000000000004</v>
      </c>
      <c r="M83" s="38">
        <v>9.4499999999999993</v>
      </c>
      <c r="N83" s="38">
        <v>9.4</v>
      </c>
      <c r="O83" s="38">
        <v>9.854000000000001</v>
      </c>
      <c r="P83" s="38">
        <v>9.8000000000000007</v>
      </c>
      <c r="Q83" s="38">
        <v>9.67</v>
      </c>
      <c r="R83" s="38">
        <v>9.1</v>
      </c>
      <c r="S83" s="38">
        <v>9.5500000000000007</v>
      </c>
      <c r="U83" s="38" t="s">
        <v>133</v>
      </c>
    </row>
    <row r="84" spans="2:23" ht="24" customHeight="1">
      <c r="I84" s="13"/>
      <c r="J84" s="13"/>
      <c r="K84" s="13"/>
      <c r="L84" s="13"/>
      <c r="M84" s="13"/>
      <c r="N84" s="13"/>
    </row>
    <row r="85" spans="2:23" ht="24.95" customHeight="1">
      <c r="B85" s="21" t="s">
        <v>149</v>
      </c>
      <c r="C85" s="20"/>
      <c r="D85" s="20"/>
      <c r="E85" s="20"/>
      <c r="F85" s="18"/>
      <c r="G85" s="18"/>
      <c r="H85" s="19">
        <v>44197</v>
      </c>
      <c r="I85" s="19">
        <v>44228</v>
      </c>
      <c r="J85" s="19">
        <v>44256</v>
      </c>
      <c r="K85" s="19">
        <v>44287</v>
      </c>
      <c r="L85" s="19">
        <v>44317</v>
      </c>
      <c r="M85" s="19">
        <v>44348</v>
      </c>
      <c r="N85" s="19">
        <v>44378</v>
      </c>
      <c r="O85" s="19">
        <v>44409</v>
      </c>
      <c r="P85" s="19">
        <v>44440</v>
      </c>
      <c r="Q85" s="19">
        <v>44470</v>
      </c>
      <c r="R85" s="19">
        <v>44501</v>
      </c>
      <c r="S85" s="19">
        <v>44531</v>
      </c>
      <c r="T85" s="18"/>
      <c r="U85" s="17">
        <v>2021</v>
      </c>
    </row>
    <row r="86" spans="2:23" ht="5.0999999999999996" customHeight="1">
      <c r="B86" s="16"/>
      <c r="C86" s="15"/>
      <c r="D86" s="15"/>
      <c r="E86" s="15"/>
      <c r="H86" s="14"/>
      <c r="I86" s="14"/>
      <c r="J86" s="14"/>
      <c r="K86" s="14"/>
      <c r="L86" s="14"/>
      <c r="M86" s="14"/>
      <c r="N86" s="14"/>
      <c r="O86" s="14"/>
      <c r="P86" s="14"/>
      <c r="Q86" s="14"/>
      <c r="R86" s="14"/>
      <c r="S86" s="14"/>
      <c r="U86" s="14"/>
    </row>
    <row r="87" spans="2:23" ht="5.0999999999999996" customHeight="1">
      <c r="B87" s="16"/>
      <c r="C87" s="15"/>
      <c r="D87" s="15"/>
      <c r="E87" s="15"/>
      <c r="H87" s="14"/>
      <c r="I87" s="14"/>
      <c r="J87" s="14"/>
      <c r="K87" s="14"/>
      <c r="L87" s="14"/>
      <c r="M87" s="14"/>
      <c r="N87" s="14"/>
      <c r="O87" s="14"/>
      <c r="P87" s="14"/>
      <c r="Q87" s="14"/>
      <c r="R87" s="14"/>
      <c r="S87" s="14"/>
      <c r="U87" s="14"/>
    </row>
    <row r="88" spans="2:23" ht="17.45" customHeight="1">
      <c r="B88" s="30" t="s">
        <v>148</v>
      </c>
      <c r="C88" s="30"/>
      <c r="D88" s="30"/>
      <c r="E88" s="30"/>
      <c r="H88" s="31"/>
      <c r="I88" s="31"/>
      <c r="J88" s="31"/>
      <c r="K88" s="31"/>
      <c r="L88" s="31"/>
      <c r="M88" s="31"/>
      <c r="N88" s="31"/>
      <c r="O88" s="31"/>
      <c r="P88" s="31">
        <v>274481</v>
      </c>
      <c r="Q88" s="31">
        <v>539588.08453587198</v>
      </c>
      <c r="R88" s="31">
        <v>563607.94999999995</v>
      </c>
      <c r="S88" s="31">
        <v>578980</v>
      </c>
      <c r="U88" s="31">
        <v>1956657.0345358718</v>
      </c>
      <c r="W88" s="40">
        <f>SUM(H88:U88)-SUM(H89:U91)</f>
        <v>0</v>
      </c>
    </row>
    <row r="89" spans="2:23" ht="17.45" customHeight="1">
      <c r="B89" s="32" t="s">
        <v>147</v>
      </c>
      <c r="C89" s="32"/>
      <c r="D89" s="32"/>
      <c r="E89" s="32"/>
      <c r="H89" s="33"/>
      <c r="I89" s="33"/>
      <c r="J89" s="33"/>
      <c r="K89" s="33"/>
      <c r="L89" s="33"/>
      <c r="M89" s="33"/>
      <c r="N89" s="33"/>
      <c r="O89" s="33"/>
      <c r="P89" s="33">
        <v>182770</v>
      </c>
      <c r="Q89" s="33">
        <v>314980.83950024098</v>
      </c>
      <c r="R89" s="33">
        <v>328961</v>
      </c>
      <c r="S89" s="33">
        <v>320558</v>
      </c>
      <c r="U89" s="33">
        <v>1147269.839500241</v>
      </c>
      <c r="W89" s="40"/>
    </row>
    <row r="90" spans="2:23" ht="17.45" customHeight="1">
      <c r="B90" s="32" t="s">
        <v>146</v>
      </c>
      <c r="C90" s="32"/>
      <c r="D90" s="32"/>
      <c r="E90" s="32"/>
      <c r="H90" s="33"/>
      <c r="I90" s="33"/>
      <c r="J90" s="33"/>
      <c r="K90" s="33"/>
      <c r="L90" s="33"/>
      <c r="M90" s="33"/>
      <c r="N90" s="33"/>
      <c r="O90" s="33"/>
      <c r="P90" s="33">
        <v>91711</v>
      </c>
      <c r="Q90" s="33">
        <v>224607.245035631</v>
      </c>
      <c r="R90" s="33">
        <v>234646.94999999998</v>
      </c>
      <c r="S90" s="33">
        <v>258422</v>
      </c>
      <c r="U90" s="33">
        <v>809387.19503563095</v>
      </c>
      <c r="W90" s="40"/>
    </row>
    <row r="91" spans="2:23" ht="17.45" customHeight="1">
      <c r="B91" s="32" t="s">
        <v>145</v>
      </c>
      <c r="C91" s="32"/>
      <c r="D91" s="32"/>
      <c r="E91" s="32"/>
      <c r="H91" s="33"/>
      <c r="I91" s="33"/>
      <c r="J91" s="33"/>
      <c r="K91" s="33"/>
      <c r="L91" s="33"/>
      <c r="M91" s="33"/>
      <c r="N91" s="33"/>
      <c r="O91" s="33"/>
      <c r="P91" s="33"/>
      <c r="Q91" s="33"/>
      <c r="R91" s="33"/>
      <c r="S91" s="33"/>
      <c r="U91" s="33"/>
      <c r="W91" s="40"/>
    </row>
    <row r="92" spans="2:23" ht="17.45" customHeight="1">
      <c r="B92" s="30" t="s">
        <v>144</v>
      </c>
      <c r="C92" s="30"/>
      <c r="D92" s="30"/>
      <c r="E92" s="30"/>
      <c r="H92" s="31"/>
      <c r="I92" s="31"/>
      <c r="J92" s="31"/>
      <c r="K92" s="31"/>
      <c r="L92" s="31"/>
      <c r="M92" s="31"/>
      <c r="N92" s="31"/>
      <c r="O92" s="31">
        <v>22387.230000000003</v>
      </c>
      <c r="P92" s="31">
        <v>12682.730000000007</v>
      </c>
      <c r="Q92" s="31">
        <v>7543.9999999999982</v>
      </c>
      <c r="R92" s="31">
        <v>7835.3699999999953</v>
      </c>
      <c r="S92" s="31">
        <v>9646</v>
      </c>
      <c r="U92" s="31">
        <v>60095.33</v>
      </c>
      <c r="W92" s="40">
        <f>SUM(H92:U92)-SUM(H93:U94)</f>
        <v>0</v>
      </c>
    </row>
    <row r="93" spans="2:23" ht="17.45" customHeight="1">
      <c r="B93" s="32" t="s">
        <v>143</v>
      </c>
      <c r="C93" s="32"/>
      <c r="D93" s="32"/>
      <c r="E93" s="32"/>
      <c r="H93" s="33"/>
      <c r="I93" s="33"/>
      <c r="J93" s="33"/>
      <c r="K93" s="33"/>
      <c r="L93" s="33"/>
      <c r="M93" s="33"/>
      <c r="N93" s="33"/>
      <c r="O93" s="33"/>
      <c r="P93" s="33"/>
      <c r="Q93" s="33"/>
      <c r="R93" s="33"/>
      <c r="S93" s="33"/>
      <c r="U93" s="33"/>
      <c r="W93" s="40"/>
    </row>
    <row r="94" spans="2:23" ht="17.45" customHeight="1">
      <c r="B94" s="32" t="s">
        <v>142</v>
      </c>
      <c r="C94" s="32"/>
      <c r="D94" s="32"/>
      <c r="E94" s="32"/>
      <c r="H94" s="33"/>
      <c r="I94" s="33"/>
      <c r="J94" s="33"/>
      <c r="K94" s="33"/>
      <c r="L94" s="33"/>
      <c r="M94" s="33"/>
      <c r="N94" s="33"/>
      <c r="O94" s="33">
        <v>22387.230000000003</v>
      </c>
      <c r="P94" s="33">
        <v>12682.730000000007</v>
      </c>
      <c r="Q94" s="33">
        <v>7543.9999999999982</v>
      </c>
      <c r="R94" s="33">
        <v>7835.3699999999953</v>
      </c>
      <c r="S94" s="33">
        <v>9646</v>
      </c>
      <c r="U94" s="33">
        <v>60095.33</v>
      </c>
      <c r="W94" s="40"/>
    </row>
    <row r="95" spans="2:23" ht="17.45" customHeight="1">
      <c r="B95" s="30" t="s">
        <v>141</v>
      </c>
      <c r="C95" s="30"/>
      <c r="D95" s="30"/>
      <c r="E95" s="30"/>
      <c r="H95" s="31"/>
      <c r="I95" s="31"/>
      <c r="J95" s="31"/>
      <c r="K95" s="31"/>
      <c r="L95" s="31"/>
      <c r="M95" s="31"/>
      <c r="N95" s="31"/>
      <c r="O95" s="31">
        <v>-8682.19</v>
      </c>
      <c r="P95" s="31">
        <v>-32747.279999999995</v>
      </c>
      <c r="Q95" s="31">
        <v>-51095.340000000004</v>
      </c>
      <c r="R95" s="31">
        <v>-50288.319999999992</v>
      </c>
      <c r="S95" s="31">
        <v>-50341</v>
      </c>
      <c r="U95" s="31">
        <v>-188530.02000000002</v>
      </c>
      <c r="W95" s="40">
        <f>SUM(H95:U95)-SUM(H96:U96)</f>
        <v>0</v>
      </c>
    </row>
    <row r="96" spans="2:23" ht="17.45" customHeight="1">
      <c r="B96" s="32" t="s">
        <v>140</v>
      </c>
      <c r="C96" s="32"/>
      <c r="D96" s="32"/>
      <c r="E96" s="32"/>
      <c r="H96" s="33"/>
      <c r="I96" s="33"/>
      <c r="J96" s="33"/>
      <c r="K96" s="33"/>
      <c r="L96" s="33"/>
      <c r="M96" s="33"/>
      <c r="N96" s="33"/>
      <c r="O96" s="33">
        <v>-8682.19</v>
      </c>
      <c r="P96" s="33">
        <v>-32747.279999999995</v>
      </c>
      <c r="Q96" s="33">
        <v>-51095.340000000004</v>
      </c>
      <c r="R96" s="33">
        <v>-50288.319999999992</v>
      </c>
      <c r="S96" s="33">
        <v>-50341</v>
      </c>
      <c r="U96" s="33">
        <v>-188530.02000000002</v>
      </c>
      <c r="W96" s="40"/>
    </row>
    <row r="97" spans="2:23" ht="17.45" customHeight="1">
      <c r="B97" s="30" t="s">
        <v>139</v>
      </c>
      <c r="C97" s="30"/>
      <c r="D97" s="30"/>
      <c r="E97" s="30"/>
      <c r="H97" s="31"/>
      <c r="I97" s="31"/>
      <c r="J97" s="31"/>
      <c r="K97" s="31"/>
      <c r="L97" s="31"/>
      <c r="M97" s="31"/>
      <c r="N97" s="31"/>
      <c r="O97" s="31">
        <v>13705.040000000003</v>
      </c>
      <c r="P97" s="31">
        <v>254416.44999999998</v>
      </c>
      <c r="Q97" s="31">
        <v>496036.74453587196</v>
      </c>
      <c r="R97" s="31">
        <v>521154.99999999994</v>
      </c>
      <c r="S97" s="31">
        <v>538285</v>
      </c>
      <c r="U97" s="31">
        <v>1828222.3445358719</v>
      </c>
      <c r="W97" s="40">
        <f>SUM(H88:U88,H92:U92,H95:U95)-SUM(H97:U97)</f>
        <v>0</v>
      </c>
    </row>
    <row r="98" spans="2:23" ht="17.45" customHeight="1">
      <c r="B98" s="34" t="s">
        <v>138</v>
      </c>
      <c r="C98" s="34"/>
      <c r="D98" s="34"/>
      <c r="E98" s="34"/>
      <c r="H98" s="35"/>
      <c r="I98" s="35"/>
      <c r="J98" s="35"/>
      <c r="K98" s="35"/>
      <c r="L98" s="35"/>
      <c r="M98" s="35"/>
      <c r="N98" s="35"/>
      <c r="O98" s="35">
        <v>13705.040000000003</v>
      </c>
      <c r="P98" s="35">
        <v>254417.11</v>
      </c>
      <c r="Q98" s="35">
        <v>486968.71240928298</v>
      </c>
      <c r="R98" s="35">
        <v>521155.38</v>
      </c>
      <c r="S98" s="35">
        <v>538285</v>
      </c>
      <c r="U98" s="35">
        <v>1814531.2424092828</v>
      </c>
    </row>
    <row r="99" spans="2:23" ht="17.45" customHeight="1">
      <c r="B99" s="36" t="s">
        <v>137</v>
      </c>
      <c r="C99" s="36"/>
      <c r="D99" s="36"/>
      <c r="E99" s="36"/>
      <c r="H99" s="37"/>
      <c r="I99" s="37"/>
      <c r="J99" s="37"/>
      <c r="K99" s="37"/>
      <c r="L99" s="37"/>
      <c r="M99" s="37"/>
      <c r="N99" s="37"/>
      <c r="O99" s="37">
        <v>4.2496248062015513E-3</v>
      </c>
      <c r="P99" s="37">
        <v>7.8888821705426354E-2</v>
      </c>
      <c r="Q99" s="37">
        <v>9.8713780007138693E-2</v>
      </c>
      <c r="R99" s="37">
        <v>0.10371243781094526</v>
      </c>
      <c r="S99" s="37">
        <v>0.10712139303482587</v>
      </c>
      <c r="U99" s="37">
        <v>7.9986449314268043E-2</v>
      </c>
    </row>
    <row r="100" spans="2:23" ht="17.45" customHeight="1">
      <c r="B100" s="36" t="s">
        <v>136</v>
      </c>
      <c r="C100" s="36"/>
      <c r="D100" s="36"/>
      <c r="E100" s="36"/>
      <c r="H100" s="37"/>
      <c r="I100" s="37"/>
      <c r="J100" s="37"/>
      <c r="K100" s="37"/>
      <c r="L100" s="37"/>
      <c r="M100" s="37"/>
      <c r="N100" s="37"/>
      <c r="O100" s="37">
        <v>4.2496248062015513E-3</v>
      </c>
      <c r="P100" s="37">
        <v>7.8889026356589148E-2</v>
      </c>
      <c r="Q100" s="37">
        <v>0.10306216135646201</v>
      </c>
      <c r="R100" s="37">
        <v>0.10371251343283582</v>
      </c>
      <c r="S100" s="37">
        <v>0.10712139303482587</v>
      </c>
      <c r="U100" s="37">
        <v>7.9406943797382876E-2</v>
      </c>
    </row>
    <row r="101" spans="2:23" ht="17.45" customHeight="1">
      <c r="B101" s="36" t="s">
        <v>135</v>
      </c>
      <c r="C101" s="36"/>
      <c r="D101" s="36"/>
      <c r="E101" s="36"/>
      <c r="H101" s="39"/>
      <c r="I101" s="38"/>
      <c r="J101" s="38"/>
      <c r="K101" s="38"/>
      <c r="L101" s="38"/>
      <c r="M101" s="38"/>
      <c r="N101" s="38"/>
      <c r="O101" s="38"/>
      <c r="P101" s="38"/>
      <c r="Q101" s="38"/>
      <c r="R101" s="38" t="s">
        <v>42</v>
      </c>
      <c r="S101" s="38">
        <v>10.23</v>
      </c>
      <c r="U101" s="38" t="s">
        <v>133</v>
      </c>
    </row>
    <row r="102" spans="2:23" ht="17.45" customHeight="1">
      <c r="B102" s="36" t="s">
        <v>134</v>
      </c>
      <c r="C102" s="36"/>
      <c r="D102" s="36"/>
      <c r="E102" s="36"/>
      <c r="H102" s="38"/>
      <c r="I102" s="38"/>
      <c r="J102" s="38"/>
      <c r="K102" s="38"/>
      <c r="L102" s="38"/>
      <c r="M102" s="38"/>
      <c r="N102" s="38"/>
      <c r="O102" s="38"/>
      <c r="P102" s="38"/>
      <c r="Q102" s="38"/>
      <c r="R102" s="38">
        <v>10</v>
      </c>
      <c r="S102" s="38">
        <v>10</v>
      </c>
      <c r="U102" s="38" t="s">
        <v>133</v>
      </c>
    </row>
    <row r="103" spans="2:23" ht="24" customHeight="1">
      <c r="H103" s="13"/>
      <c r="I103" s="13"/>
      <c r="J103" s="13"/>
      <c r="K103" s="13"/>
      <c r="L103" s="13"/>
      <c r="M103" s="13"/>
    </row>
  </sheetData>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Capa</vt:lpstr>
      <vt:lpstr>Portfólio</vt:lpstr>
      <vt:lpstr>Resultado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Fábio Garbossa</dc:creator>
  <cp:lastModifiedBy>Rafael Sinetti</cp:lastModifiedBy>
  <dcterms:created xsi:type="dcterms:W3CDTF">2024-07-11T19:55:40Z</dcterms:created>
  <dcterms:modified xsi:type="dcterms:W3CDTF">2025-12-01T21:36:20Z</dcterms:modified>
</cp:coreProperties>
</file>