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Ex1.xml" ContentType="application/vnd.ms-office.chartex+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G:\Drives compartilhados\Gestao\Imobiliário\Fundos\Papel\EQIR11\2025\Julho\Relatório Gerencial\Publicado\"/>
    </mc:Choice>
  </mc:AlternateContent>
  <xr:revisionPtr revIDLastSave="0" documentId="13_ncr:1_{8834AAD7-7B58-46AD-81C1-FA96D8BCBCBA}" xr6:coauthVersionLast="47" xr6:coauthVersionMax="47" xr10:uidLastSave="{00000000-0000-0000-0000-000000000000}"/>
  <bookViews>
    <workbookView xWindow="-28920" yWindow="-5565" windowWidth="29040" windowHeight="15720" activeTab="2" xr2:uid="{8ED7DAB6-4B17-4306-BB9A-67589D0FBCEA}"/>
  </bookViews>
  <sheets>
    <sheet name="Capa" sheetId="1" r:id="rId1"/>
    <sheet name="Portfólio" sheetId="2" r:id="rId2"/>
    <sheet name="Resultado" sheetId="3" r:id="rId3"/>
  </sheets>
  <definedNames>
    <definedName name="_xlchart.v6.0" hidden="1">Portfólio!$F$136</definedName>
    <definedName name="_xlchart.v6.1" hidden="1">Portfólio!$F$137:$F$147</definedName>
    <definedName name="_xlchart.v6.2" hidden="1">Portfólio!$H$137:$H$147</definedName>
    <definedName name="_xlchart.v6.3" hidden="1">Portfólio!$H$138</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2" l="1"/>
  <c r="B100" i="2"/>
  <c r="D100" i="2" s="1"/>
  <c r="C100" i="2"/>
  <c r="E100" i="2"/>
  <c r="F100" i="2"/>
  <c r="G100" i="2"/>
  <c r="H100" i="2"/>
  <c r="I100" i="2"/>
  <c r="J100" i="2"/>
  <c r="K100" i="2"/>
  <c r="B101" i="2"/>
  <c r="G101" i="2" s="1"/>
  <c r="C101" i="2"/>
  <c r="D101" i="2"/>
  <c r="E101" i="2"/>
  <c r="F101" i="2"/>
  <c r="J101" i="2"/>
  <c r="K101" i="2"/>
  <c r="L101" i="2"/>
  <c r="B102" i="2"/>
  <c r="D102" i="2" s="1"/>
  <c r="C102" i="2"/>
  <c r="J102" i="2"/>
  <c r="K102" i="2"/>
  <c r="B103" i="2"/>
  <c r="I103" i="2" s="1"/>
  <c r="C103" i="2"/>
  <c r="D103" i="2"/>
  <c r="K103" i="2"/>
  <c r="B104" i="2"/>
  <c r="F104" i="2" s="1"/>
  <c r="C104" i="2"/>
  <c r="K104" i="2"/>
  <c r="B105" i="2"/>
  <c r="D105" i="2" s="1"/>
  <c r="C105" i="2"/>
  <c r="K105" i="2"/>
  <c r="B106" i="2"/>
  <c r="H106" i="2" s="1"/>
  <c r="C106" i="2"/>
  <c r="D106" i="2"/>
  <c r="E106" i="2"/>
  <c r="F106" i="2"/>
  <c r="G106" i="2"/>
  <c r="J106" i="2"/>
  <c r="K106" i="2"/>
  <c r="L106" i="2"/>
  <c r="B107" i="2"/>
  <c r="E107" i="2" s="1"/>
  <c r="C107" i="2"/>
  <c r="D107" i="2"/>
  <c r="K107" i="2"/>
  <c r="B108" i="2"/>
  <c r="D108" i="2" s="1"/>
  <c r="C108" i="2"/>
  <c r="E108" i="2"/>
  <c r="K108" i="2"/>
  <c r="B109" i="2"/>
  <c r="G109" i="2" s="1"/>
  <c r="C109" i="2"/>
  <c r="D109" i="2"/>
  <c r="E109" i="2"/>
  <c r="K109" i="2"/>
  <c r="B110" i="2"/>
  <c r="D110" i="2" s="1"/>
  <c r="C110" i="2"/>
  <c r="J110" i="2"/>
  <c r="K110" i="2"/>
  <c r="B111" i="2"/>
  <c r="I111" i="2" s="1"/>
  <c r="C111" i="2"/>
  <c r="D111" i="2"/>
  <c r="E111" i="2"/>
  <c r="K111" i="2"/>
  <c r="L111" i="2"/>
  <c r="B112" i="2"/>
  <c r="F112" i="2" s="1"/>
  <c r="C112" i="2"/>
  <c r="K112" i="2"/>
  <c r="B113" i="2"/>
  <c r="D113" i="2" s="1"/>
  <c r="C113" i="2"/>
  <c r="J113" i="2"/>
  <c r="K113" i="2"/>
  <c r="B114" i="2"/>
  <c r="E114" i="2" s="1"/>
  <c r="C114" i="2"/>
  <c r="D114" i="2"/>
  <c r="J114" i="2"/>
  <c r="K114" i="2"/>
  <c r="L114" i="2"/>
  <c r="B115" i="2"/>
  <c r="E115" i="2" s="1"/>
  <c r="C115" i="2"/>
  <c r="K115" i="2"/>
  <c r="B116" i="2"/>
  <c r="D116" i="2" s="1"/>
  <c r="C116" i="2"/>
  <c r="K116" i="2"/>
  <c r="B117" i="2"/>
  <c r="G117" i="2" s="1"/>
  <c r="C117" i="2"/>
  <c r="K117" i="2"/>
  <c r="B118" i="2"/>
  <c r="D118" i="2" s="1"/>
  <c r="C118" i="2"/>
  <c r="K118" i="2"/>
  <c r="B119" i="2"/>
  <c r="I119" i="2" s="1"/>
  <c r="C119" i="2"/>
  <c r="D119" i="2"/>
  <c r="K119" i="2"/>
  <c r="B120" i="2"/>
  <c r="F120" i="2" s="1"/>
  <c r="C120" i="2"/>
  <c r="D120" i="2"/>
  <c r="K120" i="2"/>
  <c r="B121" i="2"/>
  <c r="D121" i="2" s="1"/>
  <c r="C121" i="2"/>
  <c r="J121" i="2"/>
  <c r="K121" i="2"/>
  <c r="B122" i="2"/>
  <c r="F122" i="2" s="1"/>
  <c r="C122" i="2"/>
  <c r="D122" i="2"/>
  <c r="E122" i="2"/>
  <c r="J122" i="2"/>
  <c r="K122" i="2"/>
  <c r="L122" i="2"/>
  <c r="B123" i="2"/>
  <c r="E123" i="2" s="1"/>
  <c r="C123" i="2"/>
  <c r="K123" i="2"/>
  <c r="B124" i="2"/>
  <c r="D124" i="2" s="1"/>
  <c r="C124" i="2"/>
  <c r="E124" i="2"/>
  <c r="F124" i="2"/>
  <c r="K124" i="2"/>
  <c r="B125" i="2"/>
  <c r="G125" i="2" s="1"/>
  <c r="C125" i="2"/>
  <c r="D125" i="2"/>
  <c r="K125" i="2"/>
  <c r="B126" i="2"/>
  <c r="D126" i="2" s="1"/>
  <c r="C126" i="2"/>
  <c r="J126" i="2"/>
  <c r="K126" i="2"/>
  <c r="B127" i="2"/>
  <c r="I127" i="2" s="1"/>
  <c r="C127" i="2"/>
  <c r="D127" i="2"/>
  <c r="K127" i="2"/>
  <c r="L127" i="2"/>
  <c r="B128" i="2"/>
  <c r="F128" i="2" s="1"/>
  <c r="C128" i="2"/>
  <c r="K128" i="2"/>
  <c r="B129" i="2"/>
  <c r="D129" i="2" s="1"/>
  <c r="C129" i="2"/>
  <c r="J129" i="2"/>
  <c r="K129" i="2"/>
  <c r="B130" i="2"/>
  <c r="I130" i="2" s="1"/>
  <c r="C130" i="2"/>
  <c r="D130" i="2"/>
  <c r="E130" i="2"/>
  <c r="K130" i="2"/>
  <c r="L130" i="2"/>
  <c r="B131" i="2"/>
  <c r="E131" i="2" s="1"/>
  <c r="C131" i="2"/>
  <c r="K131" i="2"/>
  <c r="B132" i="2"/>
  <c r="D132" i="2" s="1"/>
  <c r="C132" i="2"/>
  <c r="E132" i="2"/>
  <c r="F132" i="2"/>
  <c r="G132" i="2"/>
  <c r="H132" i="2"/>
  <c r="K132" i="2"/>
  <c r="B133" i="2"/>
  <c r="G133" i="2" s="1"/>
  <c r="C133" i="2"/>
  <c r="D133" i="2"/>
  <c r="E133" i="2"/>
  <c r="F133" i="2"/>
  <c r="K133" i="2"/>
  <c r="L123" i="2" l="1"/>
  <c r="J124" i="2"/>
  <c r="I122" i="2"/>
  <c r="L119" i="2"/>
  <c r="L115" i="2"/>
  <c r="D123" i="2"/>
  <c r="J115" i="2"/>
  <c r="E112" i="2"/>
  <c r="G111" i="2"/>
  <c r="G108" i="2"/>
  <c r="J130" i="2"/>
  <c r="J111" i="2"/>
  <c r="H130" i="2"/>
  <c r="J125" i="2"/>
  <c r="I124" i="2"/>
  <c r="H122" i="2"/>
  <c r="J112" i="2"/>
  <c r="H111" i="2"/>
  <c r="G130" i="2"/>
  <c r="F125" i="2"/>
  <c r="H124" i="2"/>
  <c r="G122" i="2"/>
  <c r="F119" i="2"/>
  <c r="L103" i="2"/>
  <c r="I132" i="2"/>
  <c r="D131" i="2"/>
  <c r="F130" i="2"/>
  <c r="E125" i="2"/>
  <c r="G124" i="2"/>
  <c r="E119" i="2"/>
  <c r="D115" i="2"/>
  <c r="D112" i="2"/>
  <c r="F111" i="2"/>
  <c r="F108" i="2"/>
  <c r="J116" i="2"/>
  <c r="L128" i="2"/>
  <c r="J127" i="2"/>
  <c r="J103" i="2"/>
  <c r="L120" i="2"/>
  <c r="H114" i="2"/>
  <c r="L109" i="2"/>
  <c r="J104" i="2"/>
  <c r="E104" i="2"/>
  <c r="G103" i="2"/>
  <c r="D128" i="2"/>
  <c r="F127" i="2"/>
  <c r="J120" i="2"/>
  <c r="H119" i="2"/>
  <c r="J118" i="2"/>
  <c r="D117" i="2"/>
  <c r="F116" i="2"/>
  <c r="F114" i="2"/>
  <c r="J109" i="2"/>
  <c r="I108" i="2"/>
  <c r="I106" i="2"/>
  <c r="D104" i="2"/>
  <c r="F103" i="2"/>
  <c r="L117" i="2"/>
  <c r="L104" i="2"/>
  <c r="J117" i="2"/>
  <c r="I116" i="2"/>
  <c r="I114" i="2"/>
  <c r="H127" i="2"/>
  <c r="F117" i="2"/>
  <c r="H116" i="2"/>
  <c r="H103" i="2"/>
  <c r="E128" i="2"/>
  <c r="G127" i="2"/>
  <c r="J119" i="2"/>
  <c r="E117" i="2"/>
  <c r="G116" i="2"/>
  <c r="G114" i="2"/>
  <c r="J108" i="2"/>
  <c r="L107" i="2"/>
  <c r="L133" i="2"/>
  <c r="J132" i="2"/>
  <c r="L131" i="2"/>
  <c r="E127" i="2"/>
  <c r="L125" i="2"/>
  <c r="E120" i="2"/>
  <c r="G119" i="2"/>
  <c r="E116" i="2"/>
  <c r="L112" i="2"/>
  <c r="F109" i="2"/>
  <c r="H108" i="2"/>
  <c r="J107" i="2"/>
  <c r="J105" i="2"/>
  <c r="E103" i="2"/>
  <c r="I129" i="2"/>
  <c r="I113" i="2"/>
  <c r="J131" i="2"/>
  <c r="H113" i="2"/>
  <c r="H105" i="2"/>
  <c r="G129" i="2"/>
  <c r="J128" i="2"/>
  <c r="H126" i="2"/>
  <c r="G121" i="2"/>
  <c r="H102" i="2"/>
  <c r="H131" i="2"/>
  <c r="G126" i="2"/>
  <c r="H123" i="2"/>
  <c r="H115" i="2"/>
  <c r="F113" i="2"/>
  <c r="I112" i="2"/>
  <c r="H107" i="2"/>
  <c r="G102" i="2"/>
  <c r="I133" i="2"/>
  <c r="L132" i="2"/>
  <c r="G131" i="2"/>
  <c r="E129" i="2"/>
  <c r="H128" i="2"/>
  <c r="F126" i="2"/>
  <c r="I125" i="2"/>
  <c r="L124" i="2"/>
  <c r="G123" i="2"/>
  <c r="E121" i="2"/>
  <c r="H120" i="2"/>
  <c r="F118" i="2"/>
  <c r="I117" i="2"/>
  <c r="L116" i="2"/>
  <c r="G115" i="2"/>
  <c r="E113" i="2"/>
  <c r="H112" i="2"/>
  <c r="F110" i="2"/>
  <c r="I109" i="2"/>
  <c r="L108" i="2"/>
  <c r="G107" i="2"/>
  <c r="E105" i="2"/>
  <c r="H104" i="2"/>
  <c r="F102" i="2"/>
  <c r="I101" i="2"/>
  <c r="L100" i="2"/>
  <c r="I105" i="2"/>
  <c r="J123" i="2"/>
  <c r="H121" i="2"/>
  <c r="I118" i="2"/>
  <c r="I110" i="2"/>
  <c r="I123" i="2"/>
  <c r="G105" i="2"/>
  <c r="I128" i="2"/>
  <c r="G110" i="2"/>
  <c r="F105" i="2"/>
  <c r="F131" i="2"/>
  <c r="G128" i="2"/>
  <c r="F115" i="2"/>
  <c r="I121" i="2"/>
  <c r="H129" i="2"/>
  <c r="I126" i="2"/>
  <c r="I102" i="2"/>
  <c r="I131" i="2"/>
  <c r="H118" i="2"/>
  <c r="I115" i="2"/>
  <c r="G113" i="2"/>
  <c r="H110" i="2"/>
  <c r="I107" i="2"/>
  <c r="J133" i="2"/>
  <c r="F129" i="2"/>
  <c r="F121" i="2"/>
  <c r="I120" i="2"/>
  <c r="G118" i="2"/>
  <c r="I104" i="2"/>
  <c r="H133" i="2"/>
  <c r="L129" i="2"/>
  <c r="E126" i="2"/>
  <c r="H125" i="2"/>
  <c r="F123" i="2"/>
  <c r="L121" i="2"/>
  <c r="G120" i="2"/>
  <c r="E118" i="2"/>
  <c r="H117" i="2"/>
  <c r="L113" i="2"/>
  <c r="G112" i="2"/>
  <c r="E110" i="2"/>
  <c r="H109" i="2"/>
  <c r="F107" i="2"/>
  <c r="L105" i="2"/>
  <c r="G104" i="2"/>
  <c r="E102" i="2"/>
  <c r="H101" i="2"/>
  <c r="L126" i="2"/>
  <c r="L118" i="2"/>
  <c r="L110" i="2"/>
  <c r="L102" i="2"/>
  <c r="K19" i="3"/>
  <c r="K16" i="3"/>
  <c r="K12" i="3"/>
  <c r="K21" i="3" l="1"/>
  <c r="L47" i="2" l="1"/>
  <c r="J19" i="3" l="1"/>
  <c r="J16" i="3"/>
  <c r="J12" i="3"/>
  <c r="J21" i="3" s="1"/>
  <c r="I19" i="3" l="1"/>
  <c r="I16" i="3"/>
  <c r="I12" i="3"/>
  <c r="I21" i="3" l="1"/>
  <c r="H19" i="3"/>
  <c r="H16" i="3"/>
  <c r="H12" i="3"/>
  <c r="I9" i="3"/>
  <c r="J9" i="3" s="1"/>
  <c r="K9" i="3" s="1"/>
  <c r="L9" i="3" s="1"/>
  <c r="M9" i="3" s="1"/>
  <c r="N9" i="3" s="1"/>
  <c r="O9" i="3" s="1"/>
  <c r="P9" i="3" s="1"/>
  <c r="Q9" i="3" s="1"/>
  <c r="R9" i="3" s="1"/>
  <c r="S9" i="3" s="1"/>
  <c r="U24" i="3"/>
  <c r="U23" i="3"/>
  <c r="U22" i="3"/>
  <c r="U20" i="3"/>
  <c r="U18" i="3"/>
  <c r="U17" i="3"/>
  <c r="U15" i="3"/>
  <c r="U14" i="3"/>
  <c r="U13" i="3"/>
  <c r="S38" i="3"/>
  <c r="S35" i="3"/>
  <c r="S31" i="3"/>
  <c r="H21" i="3" l="1"/>
  <c r="U21" i="3" s="1"/>
  <c r="S40" i="3"/>
  <c r="U19" i="3"/>
  <c r="W19" i="3" s="1"/>
  <c r="U12" i="3"/>
  <c r="W12" i="3" s="1"/>
  <c r="C99" i="2" l="1"/>
  <c r="B99" i="2"/>
  <c r="U43" i="3"/>
  <c r="U42" i="3"/>
  <c r="U41" i="3"/>
  <c r="U39" i="3"/>
  <c r="U37" i="3"/>
  <c r="U36" i="3"/>
  <c r="U34" i="3"/>
  <c r="U33" i="3"/>
  <c r="U32" i="3"/>
  <c r="R38" i="3"/>
  <c r="R35" i="3"/>
  <c r="Q35" i="3"/>
  <c r="R31" i="3"/>
  <c r="Q38" i="3"/>
  <c r="Q31" i="3"/>
  <c r="K99" i="2"/>
  <c r="D99" i="2" l="1"/>
  <c r="L99" i="2"/>
  <c r="G99" i="2"/>
  <c r="F99" i="2"/>
  <c r="E99" i="2"/>
  <c r="J99" i="2"/>
  <c r="I99" i="2"/>
  <c r="H99" i="2"/>
  <c r="K139" i="2"/>
  <c r="U35" i="3"/>
  <c r="U31" i="3"/>
  <c r="U38" i="3"/>
  <c r="R40" i="3"/>
  <c r="Q40" i="3"/>
  <c r="U40" i="3" l="1"/>
  <c r="K137" i="2"/>
  <c r="W97" i="3" l="1"/>
  <c r="W95" i="3"/>
  <c r="W92" i="3"/>
  <c r="W88" i="3"/>
  <c r="W69" i="3"/>
  <c r="W78" i="3"/>
  <c r="W76" i="3"/>
  <c r="W73" i="3"/>
  <c r="W50" i="3"/>
  <c r="W59" i="3"/>
  <c r="W57" i="3"/>
  <c r="W54" i="3"/>
  <c r="W40" i="3"/>
  <c r="W38" i="3"/>
  <c r="W35" i="3"/>
  <c r="W31" i="3"/>
  <c r="H140" i="2"/>
  <c r="N137" i="2" l="1"/>
  <c r="N144" i="2"/>
  <c r="H137" i="2"/>
  <c r="H147" i="2"/>
  <c r="Q138" i="2"/>
  <c r="Q139" i="2"/>
  <c r="Q137" i="2"/>
  <c r="N142" i="2"/>
  <c r="K138" i="2"/>
  <c r="H146" i="2"/>
  <c r="H139" i="2" l="1"/>
  <c r="N143" i="2"/>
  <c r="N139" i="2"/>
  <c r="N141" i="2"/>
  <c r="N140" i="2"/>
  <c r="N138" i="2"/>
  <c r="H145" i="2"/>
  <c r="H138" i="2"/>
  <c r="H141" i="2"/>
  <c r="H142" i="2"/>
  <c r="Q140" i="2"/>
  <c r="H143" i="2"/>
  <c r="H144" i="2"/>
  <c r="C137" i="2" l="1"/>
  <c r="C145" i="2" l="1"/>
  <c r="C142" i="2"/>
  <c r="C139" i="2"/>
  <c r="C141" i="2"/>
  <c r="C143" i="2"/>
  <c r="C138" i="2"/>
  <c r="C144" i="2"/>
  <c r="C140" i="2"/>
  <c r="D144" i="2" l="1"/>
  <c r="D141" i="2"/>
  <c r="D138" i="2"/>
  <c r="D143" i="2"/>
  <c r="D139" i="2"/>
  <c r="D140" i="2"/>
  <c r="D137" i="2"/>
  <c r="D142" i="2"/>
  <c r="D145" i="2"/>
  <c r="U16" i="3" l="1"/>
  <c r="W21" i="3" s="1"/>
  <c r="W16" i="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0"/>
        </ext>
      </extLst>
    </bk>
    <bk>
      <extLst>
        <ext uri="{3e2802c4-a4d2-4d8b-9148-e3be6c30e623}">
          <xlrd:rvb i="19"/>
        </ext>
      </extLst>
    </bk>
    <bk>
      <extLst>
        <ext uri="{3e2802c4-a4d2-4d8b-9148-e3be6c30e623}">
          <xlrd:rvb i="28"/>
        </ext>
      </extLst>
    </bk>
    <bk>
      <extLst>
        <ext uri="{3e2802c4-a4d2-4d8b-9148-e3be6c30e623}">
          <xlrd:rvb i="38"/>
        </ext>
      </extLst>
    </bk>
    <bk>
      <extLst>
        <ext uri="{3e2802c4-a4d2-4d8b-9148-e3be6c30e623}">
          <xlrd:rvb i="50"/>
        </ext>
      </extLst>
    </bk>
    <bk>
      <extLst>
        <ext uri="{3e2802c4-a4d2-4d8b-9148-e3be6c30e623}">
          <xlrd:rvb i="59"/>
        </ext>
      </extLst>
    </bk>
    <bk>
      <extLst>
        <ext uri="{3e2802c4-a4d2-4d8b-9148-e3be6c30e623}">
          <xlrd:rvb i="68"/>
        </ext>
      </extLst>
    </bk>
    <bk>
      <extLst>
        <ext uri="{3e2802c4-a4d2-4d8b-9148-e3be6c30e623}">
          <xlrd:rvb i="77"/>
        </ext>
      </extLst>
    </bk>
    <bk>
      <extLst>
        <ext uri="{3e2802c4-a4d2-4d8b-9148-e3be6c30e623}">
          <xlrd:rvb i="86"/>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<sst xmlns="http://schemas.openxmlformats.org/spreadsheetml/2006/main" count="533" uniqueCount="228">
  <si>
    <t>Investidores em geral</t>
  </si>
  <si>
    <t>Público alvo:</t>
  </si>
  <si>
    <t>Indeterminado</t>
  </si>
  <si>
    <t>Prazo:</t>
  </si>
  <si>
    <t>TVM Gestão Ativa - Títulos e Valores Mobiliários</t>
  </si>
  <si>
    <t>Tipo Anbima:</t>
  </si>
  <si>
    <t>2 emissões de cotas realizadas</t>
  </si>
  <si>
    <t>Ofertas concluídas</t>
  </si>
  <si>
    <t>Não possuí</t>
  </si>
  <si>
    <t>Taxa de Performance:</t>
  </si>
  <si>
    <t>Taxa de Adminstração:</t>
  </si>
  <si>
    <t>Gestora:</t>
  </si>
  <si>
    <t>Adminstradora:</t>
  </si>
  <si>
    <t>Agosto de 2021</t>
  </si>
  <si>
    <t>Início das atividades:</t>
  </si>
  <si>
    <t>INFORMAÇÕES GERAIS</t>
  </si>
  <si>
    <t xml:space="preserve">Poderão integrar o patrimônio do fundo i) Certificados de Recebíveis Imobiliários (CRI); ii) Letras de Crédito Imobiliário (LCI); Letras Hipotecárias (LH); Letras Imobiliárias Garantidas (LIG); Cotas de outros Fundos de Investimento Imobiliário (FII); e Cotas de Fundos de Investimento em Direitos Creditórios (FIDC) que tenham como política de investimento, exclusivamente, atividades permitidas aos FII e desde que as cotas tenham sido objeto de oferta pública registrada na CVM ou cujo registro tenha sido dispensado nos termos da regulamentação em vigor. </t>
  </si>
  <si>
    <t>POLÍTICA DE INVESTIMENTOS</t>
  </si>
  <si>
    <t>OBJETIVO DO FUNDO</t>
  </si>
  <si>
    <t>EQI Recebíveis Imobiliários FII - EQIR11</t>
  </si>
  <si>
    <t>PE</t>
  </si>
  <si>
    <t>Varejo</t>
  </si>
  <si>
    <t>PA</t>
  </si>
  <si>
    <t>RS</t>
  </si>
  <si>
    <t>2033+</t>
  </si>
  <si>
    <t>Home Equity</t>
  </si>
  <si>
    <t>RJ</t>
  </si>
  <si>
    <t>Outros</t>
  </si>
  <si>
    <t>MT</t>
  </si>
  <si>
    <t>DF</t>
  </si>
  <si>
    <t>Loteamento</t>
  </si>
  <si>
    <t>SC</t>
  </si>
  <si>
    <t>76% - 100%</t>
  </si>
  <si>
    <t>Residencial</t>
  </si>
  <si>
    <t>GO</t>
  </si>
  <si>
    <t>51% - 75%</t>
  </si>
  <si>
    <t>Energia</t>
  </si>
  <si>
    <t>MG</t>
  </si>
  <si>
    <t>26% - 50%</t>
  </si>
  <si>
    <t>Corporativo</t>
  </si>
  <si>
    <t xml:space="preserve">CDI </t>
  </si>
  <si>
    <t>Pulverizado</t>
  </si>
  <si>
    <t>-</t>
  </si>
  <si>
    <t>0% - 25%</t>
  </si>
  <si>
    <t>Galpões Logísticos</t>
  </si>
  <si>
    <t>IPCA</t>
  </si>
  <si>
    <t>SP</t>
  </si>
  <si>
    <t>LTV</t>
  </si>
  <si>
    <t>Segmento</t>
  </si>
  <si>
    <t>Indexador</t>
  </si>
  <si>
    <t>Localização</t>
  </si>
  <si>
    <t>Duration</t>
  </si>
  <si>
    <t>Vencimento</t>
  </si>
  <si>
    <t>Ano</t>
  </si>
  <si>
    <t>21L0354209</t>
  </si>
  <si>
    <t>23B0493519</t>
  </si>
  <si>
    <t>23G0006401</t>
  </si>
  <si>
    <t>21I0912120</t>
  </si>
  <si>
    <t>21D0779652</t>
  </si>
  <si>
    <t>21D0402879</t>
  </si>
  <si>
    <t>21F0568989</t>
  </si>
  <si>
    <t>20K0568000</t>
  </si>
  <si>
    <t>21H0001405</t>
  </si>
  <si>
    <t>23C2831601</t>
  </si>
  <si>
    <t>21E0665350</t>
  </si>
  <si>
    <t>20K0696607</t>
  </si>
  <si>
    <t>21H0748795</t>
  </si>
  <si>
    <t>21B0631104</t>
  </si>
  <si>
    <t>20G0926014</t>
  </si>
  <si>
    <t>23G2304202</t>
  </si>
  <si>
    <t>22K1685406</t>
  </si>
  <si>
    <t>23L1199759</t>
  </si>
  <si>
    <t>21H0891311</t>
  </si>
  <si>
    <t>24A2806776</t>
  </si>
  <si>
    <t>21H0888186</t>
  </si>
  <si>
    <t>23J1338137</t>
  </si>
  <si>
    <t>21L0355178</t>
  </si>
  <si>
    <t>23H1104566</t>
  </si>
  <si>
    <t>23I1816075</t>
  </si>
  <si>
    <t>23I1257019</t>
  </si>
  <si>
    <t>23G0006601</t>
  </si>
  <si>
    <t>Indexadores</t>
  </si>
  <si>
    <t>Segmentos</t>
  </si>
  <si>
    <t>Emissores</t>
  </si>
  <si>
    <t>% de CRIs</t>
  </si>
  <si>
    <t>% do PL</t>
  </si>
  <si>
    <t>Devedor</t>
  </si>
  <si>
    <t>IF</t>
  </si>
  <si>
    <t>IPCA +</t>
  </si>
  <si>
    <t>Tesouro Nacional</t>
  </si>
  <si>
    <t>Cx.</t>
  </si>
  <si>
    <t>VRTM11</t>
  </si>
  <si>
    <t>FII</t>
  </si>
  <si>
    <t>True</t>
  </si>
  <si>
    <t>Viracopos</t>
  </si>
  <si>
    <t>CRI</t>
  </si>
  <si>
    <t>Canal</t>
  </si>
  <si>
    <t>ForGreen</t>
  </si>
  <si>
    <t>Habitat</t>
  </si>
  <si>
    <t>Ore</t>
  </si>
  <si>
    <t>Minas Brisa</t>
  </si>
  <si>
    <t>Opea</t>
  </si>
  <si>
    <t>Virgo</t>
  </si>
  <si>
    <t>Wimo</t>
  </si>
  <si>
    <t>Pontte</t>
  </si>
  <si>
    <t>Pulverizado Ore</t>
  </si>
  <si>
    <t>Sinal</t>
  </si>
  <si>
    <t>Casa &amp; Vídeo</t>
  </si>
  <si>
    <t>CDI +</t>
  </si>
  <si>
    <t>Teriva</t>
  </si>
  <si>
    <t>Travessia</t>
  </si>
  <si>
    <t>Solfarma</t>
  </si>
  <si>
    <t>Pague Menos</t>
  </si>
  <si>
    <t>CK</t>
  </si>
  <si>
    <t>Sotreq</t>
  </si>
  <si>
    <t>Habitasec</t>
  </si>
  <si>
    <t>Quero Quero</t>
  </si>
  <si>
    <t>Caprem</t>
  </si>
  <si>
    <t>Diferencial</t>
  </si>
  <si>
    <t>Urba</t>
  </si>
  <si>
    <t>Lote5</t>
  </si>
  <si>
    <t>RCP</t>
  </si>
  <si>
    <t>Opy</t>
  </si>
  <si>
    <t>Brasol</t>
  </si>
  <si>
    <t>Lotus</t>
  </si>
  <si>
    <t>CitLog Varginha</t>
  </si>
  <si>
    <t>Estado</t>
  </si>
  <si>
    <t>% dos CRIs</t>
  </si>
  <si>
    <t>% da Carteira</t>
  </si>
  <si>
    <t>Saldo MTM
(R$)</t>
  </si>
  <si>
    <t>Taxa MTM</t>
  </si>
  <si>
    <t>Taxa Aquisição</t>
  </si>
  <si>
    <t>Index</t>
  </si>
  <si>
    <t>Emissor</t>
  </si>
  <si>
    <t xml:space="preserve">Setor de Atuação </t>
  </si>
  <si>
    <t>Código</t>
  </si>
  <si>
    <t>Ativo</t>
  </si>
  <si>
    <t>n/a</t>
  </si>
  <si>
    <t>Cota Mercado</t>
  </si>
  <si>
    <t>Cota Patrimonial</t>
  </si>
  <si>
    <t>Rendimento / Cota</t>
  </si>
  <si>
    <t>Resultado / Cota</t>
  </si>
  <si>
    <t>Rendimento</t>
  </si>
  <si>
    <t>Resultado Operacional</t>
  </si>
  <si>
    <t>Despesas Operacionais</t>
  </si>
  <si>
    <t>Total de Despesas</t>
  </si>
  <si>
    <t>Renda Fixa</t>
  </si>
  <si>
    <t>Fundos Imobiliários</t>
  </si>
  <si>
    <t>Outras Receitas</t>
  </si>
  <si>
    <t>CRI - Negociação</t>
  </si>
  <si>
    <t>CRI - Correção Monetária</t>
  </si>
  <si>
    <t>CRI - Juros</t>
  </si>
  <si>
    <t>Receita Operacional</t>
  </si>
  <si>
    <t>EQI Recebíveis Imobiliários 2021</t>
  </si>
  <si>
    <t>EQI Recebíveis Imobiliários 2022</t>
  </si>
  <si>
    <t>EQI Recebíveis Imobiliários 2023</t>
  </si>
  <si>
    <t>EQI Recebíveis Imobiliários 2024</t>
  </si>
  <si>
    <r>
      <t xml:space="preserve">O </t>
    </r>
    <r>
      <rPr>
        <b/>
        <sz val="12"/>
        <color rgb="FF6D6E70"/>
        <rFont val="Compasse"/>
        <family val="2"/>
      </rPr>
      <t xml:space="preserve">EQI Recebíveis Imobiliários FII </t>
    </r>
    <r>
      <rPr>
        <sz val="12"/>
        <color rgb="FF6D6E70"/>
        <rFont val="Compasse"/>
        <family val="2"/>
      </rPr>
      <t>tem como objetivo investir majoritariamente em Certificados de Recebíveis Imobiliários (“CRI”), compondo um portfólio com risco de crédito moderado e rentabilidade alvo de IPCA + 8% ao ano líquido de custos.</t>
    </r>
  </si>
  <si>
    <t>BTG Pactual Serviços Financeiros S.A. DTVM</t>
  </si>
  <si>
    <t>EuQueroInvestir Gestão de Recursos Ltda. (“EQI Asset”)</t>
  </si>
  <si>
    <t>A Taxa de Administração será equivalente a 1,00% (um inteiro por cento) ao ano, à razão de 1/12 avos, calculado sobre o valor contábil do patrimônio líquido do fundo</t>
  </si>
  <si>
    <t>PORTFÓLIO DO FUNDO</t>
  </si>
  <si>
    <t>DRE GERENCIAL</t>
  </si>
  <si>
    <t>Descrição</t>
  </si>
  <si>
    <t>Garantias</t>
  </si>
  <si>
    <t>Operação com risco de crédito da construtora e incorporadora Habitat e baseada em 8 projetos, sendo 3 residenciais, 1 escritório e 4 loteamentos.</t>
  </si>
  <si>
    <t>AF, AF de cotas, CF, FR, FD e Aval</t>
  </si>
  <si>
    <t>CRI baseado em um galpão logístico localizado em Varginha-MG, locado para empresas do ramo logístico, automotivo e farmacêutico através de contratos típicos e atípicos. O CRI conta com garantia do ativo logístico.</t>
  </si>
  <si>
    <t>AF e FD</t>
  </si>
  <si>
    <t>Operação com risco de crédito da construtora e incorporadora Lotus e baseada em 7 projetos, sendo 5 residenciais e 2 escritórios.</t>
  </si>
  <si>
    <t>AF, CF, FR, FD e Aval</t>
  </si>
  <si>
    <t>CRI baseado em 3 usinas de geração solar distribuída desenvolvidas pelo Grupo Oeste. O CRI conta com garantia de subordinação da Brasol.</t>
  </si>
  <si>
    <t>AF, CF, FR, FD e Subordinação</t>
  </si>
  <si>
    <t>CRI baseado em centro logístico localizado em Itupeva-SP, locado para empresas do ramo de construção civil, comércio eletrônico e embalagens. O CRI conta com garantia do ativo logístico.</t>
  </si>
  <si>
    <t>CRI baseado em 9 usinas de geração solar distribuída desenvolvidas pela ForGreen.</t>
  </si>
  <si>
    <t>CRI baseado no Hospital Metropolitano Dr. Célio de Castro localizado em Belo Horizonte-MG. O CRI conta com garantia do aval da Opy Health.</t>
  </si>
  <si>
    <t>CF, FR, FD e Aval</t>
  </si>
  <si>
    <t>CRI baseado em centro logístico localizado em Rio Claro-SP, locado para empresas do ramo automotivo, alimentício, logístico, industrial, construção civil e eletrodomésticos. O CRI conta com garantia do ativo logístico.</t>
  </si>
  <si>
    <t>AF, CF, FR e Aval</t>
  </si>
  <si>
    <t>CRI baseado em 2 loteamentos em desenvolvimento em Campinas-SP pela incorporadora e loteadora Lote5. O CRI conta com garantia do terreno dos projetos.</t>
  </si>
  <si>
    <t>CRI baseado em uma carteira de recebíveis de loteamentos originada pela Urba. O CRI conta com garantia de subordinação da Urba. A parcela adquirida tem natureza mezanino na estrutura de subordinação dessa operação.</t>
  </si>
  <si>
    <t>CRI baseado em 3 usinas de geração solar distribuída desenvolvidas pela KWP Energia e Diferencial Energia.</t>
  </si>
  <si>
    <t xml:space="preserve">CRI baseado em projeto residencial em desenvolvimento localizado em Rio Claro-SP. </t>
  </si>
  <si>
    <t>AF, CF, FR e Fiança</t>
  </si>
  <si>
    <t>CRI baseado em um galpão logístico localizado em Sapiranga-RS, locado para a Quero Quero. O CRI conta com garantia do ativo logístico.</t>
  </si>
  <si>
    <t>CRI baseado em um galpão logístico localizado em Parauapebas-PA, locado para a Sotreq. O CRI conta com garantia do ativo logístico.</t>
  </si>
  <si>
    <t xml:space="preserve">CRI baseado em projeto residencial em desenvolvimento localizado na Praia Brava em Itajaí-SC. </t>
  </si>
  <si>
    <t>CRI baseado em 6 usinas de geração solar distribuída desenvolvidas pela Brasol para atender a rede de farmácias Pague Menos.</t>
  </si>
  <si>
    <t>AF, AF de cotas, CF e FR</t>
  </si>
  <si>
    <t>CRI baseado em um galpão logístico localizado em Bebedouro-SP, locado para a Solfarma Distribuidora. O CRI conta com garantia do ativo logístico.</t>
  </si>
  <si>
    <t>AF, CF, FR e FD</t>
  </si>
  <si>
    <t>CRI baseado em 2 loteamentos localizados em Bragança Paulista e Atibaia-SP.</t>
  </si>
  <si>
    <t>AF de cotas, CF, FR, FD e Aval</t>
  </si>
  <si>
    <t>Operação com risco de crédito da varejista Casa e Vídeo.</t>
  </si>
  <si>
    <t>CF</t>
  </si>
  <si>
    <t>Operação com risco de crédito da rede de concessionárias Grupo Sinal, com garantia de galpão logístico localizado em São Caetano do Sul-SP, locado para o Grupo entre outros imóveis que perfazem 160% do saldo devedor.</t>
  </si>
  <si>
    <t>AF, FR e Fiança</t>
  </si>
  <si>
    <t>CRI baseado em uma carteira de recebíveis de financiamentos garantidos por imóveis residenciais, originada pelas construtoras e incorporadoras Helbor, Setin e Ekko e pela Faria Lima Capital. A parcela adquirida tem natureza sênior na estrutura de subordinação da operação.</t>
  </si>
  <si>
    <t>AF, FD e Subordinação</t>
  </si>
  <si>
    <t>CRI baseado em uma carteira de recebíveis de empréstimos garantidos por imóveis residenciais (“Home Equity”), originada pela Pontte. A carteira que lastreia o CRI é muito diversificada e com LTV baixo (~40%). A parcela adquirida tem natureza sênior na estrutura de subordinação da operação.</t>
  </si>
  <si>
    <t>AF, FR, FD e Subordinação</t>
  </si>
  <si>
    <t>CRI baseado em uma carteira de recebíveis de empréstimos garantidos por imóveis residenciais (“Home Equity”), originada pela Wimo. A carteira que lastreia o CRI é muito diversificada e com LTV baixo (~30%). A parcela adquirida tem natureza sênior na estrutura de subordinação da operação.</t>
  </si>
  <si>
    <t xml:space="preserve">CRI baseado em projeto residencial em desenvolvimento localizado em Nova Lima-MG. </t>
  </si>
  <si>
    <t>CRI baseado em uma carteira de recebíveis de empréstimos garantidos por imóveis residenciais (“Home Equity”), originada pela Creditas. A carteira que lastreia o CRI é muito diversificada e com LTV baixo (~40%). A parcela adquirida tem natureza sênior na estrutura de subordinação da operação.</t>
  </si>
  <si>
    <t xml:space="preserve">CRI baseado em 2 projetos residenciais em desenvolvimento localizados em Blumenau e Porto Belo-SC. </t>
  </si>
  <si>
    <t>23J2272828</t>
  </si>
  <si>
    <t>PHV</t>
  </si>
  <si>
    <t>21L0355069</t>
  </si>
  <si>
    <t xml:space="preserve">CRI baseado em projeto residencial em desenvolvimento localizado em Belo Horizonte-MG. </t>
  </si>
  <si>
    <t>24L1567363</t>
  </si>
  <si>
    <t>DUE</t>
  </si>
  <si>
    <t>CRI baseado em projeto residencial em desenvolvimento localizado em Tamandaré-PE.</t>
  </si>
  <si>
    <t>EQI Recebíveis Imobiliários 2025</t>
  </si>
  <si>
    <t>25C3605714</t>
  </si>
  <si>
    <t>Lotus II</t>
  </si>
  <si>
    <t>24L2720216</t>
  </si>
  <si>
    <t>Gt Urbanismo</t>
  </si>
  <si>
    <t>Pré</t>
  </si>
  <si>
    <t>20J0837185</t>
  </si>
  <si>
    <t>Creditas</t>
  </si>
  <si>
    <t>Vert</t>
  </si>
  <si>
    <t>23D1293668</t>
  </si>
  <si>
    <t>MS Incorporadora</t>
  </si>
  <si>
    <t xml:space="preserve">Operação com risco de crédito da construtora e incorporadora Lotus baseado na conta vinculada do BRB para o Lotus Tower </t>
  </si>
  <si>
    <t>CRI baseado em 3 loteamentos, sendo um em Goiânia e dois em Cuiabá.</t>
  </si>
  <si>
    <t>25F8582172</t>
  </si>
  <si>
    <t>DUE III</t>
  </si>
  <si>
    <t>CRI baseado em projeto residencial em desenvolvimento localizado em Ipojuca-PE.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</si>
</sst>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0_ ;\-#,##0.00\ "/>
    <numFmt numFmtId="165" formatCode="0.0%"/>
    <numFmt numFmtId="166" formatCode="_(* #,##0.00_);_(* \(#,##0.00\);_(* &quot;-&quot;??_);_(@_)"/>
    <numFmt numFmtId="167" formatCode="#,##0_ ;\-#,##0\ "/>
    <numFmt numFmtId="168" formatCode="[$-416]mmm\-yy;@"/>
    <numFmt numFmtId="169" formatCode="_(* #,##0_);_(* \(#,##0\);_(* &quot;-&quot;??_);_(@_)"/>
    <numFmt numFmtId="170" formatCode="0.000"/>
    <numFmt numFmtId="171" formatCode="mmm\-yy"/>
    <numFmt numFmtId="172" formatCode="#,##0.0"/>
    <numFmt numFmtId="173" formatCode="0.0000"/>
    <numFmt numFmtId="174" formatCode="_-* #,##0.0_-;\-* #,##0.0_-;_-* &quot;-&quot;??_-;_-@_-"/>
  </numFmts>
  <fonts count="31">
    <font>
      <sz val="11"/>
      <color theme="1"/>
      <name val="Aptos Narrow"/>
      <family val="2"/>
      <scheme val="minor"/>
    </font>
    <font>
      <sz val="11"/>
      <color theme="1"/>
      <name val="Aptos Narrow"/>
      <family val="2"/>
      <scheme val="minor"/>
    </font>
    <font>
      <sz val="11"/>
      <color theme="1"/>
      <name val="Compasse"/>
      <family val="2"/>
    </font>
    <font>
      <sz val="12"/>
      <color rgb="FF6D6E70"/>
      <name val="Compasse"/>
      <family val="2"/>
    </font>
    <font>
      <b/>
      <sz val="12"/>
      <color theme="2" tint="-0.749992370372631"/>
      <name val="Compasse"/>
      <family val="2"/>
    </font>
    <font>
      <sz val="10"/>
      <color theme="1"/>
      <name val="Compasse"/>
      <family val="2"/>
    </font>
    <font>
      <sz val="14"/>
      <color rgb="FF0A4263"/>
      <name val="Compasse"/>
      <family val="2"/>
    </font>
    <font>
      <b/>
      <sz val="12"/>
      <color rgb="FF6D6E70"/>
      <name val="Compasse"/>
      <family val="2"/>
    </font>
    <font>
      <b/>
      <sz val="12"/>
      <color rgb="FF0A4263"/>
      <name val="Compasse"/>
      <family val="2"/>
    </font>
    <font>
      <b/>
      <sz val="16"/>
      <color rgb="FF0A4263"/>
      <name val="Compasse"/>
      <family val="2"/>
    </font>
    <font>
      <sz val="10"/>
      <name val="Arial"/>
      <family val="2"/>
    </font>
    <font>
      <sz val="10"/>
      <color theme="1"/>
      <name val="Aptos Narrow"/>
      <family val="2"/>
      <scheme val="minor"/>
    </font>
    <font>
      <sz val="10"/>
      <color rgb="FF004263"/>
      <name val="Compasse Light"/>
      <family val="2"/>
    </font>
    <font>
      <b/>
      <sz val="10"/>
      <color rgb="FF474644"/>
      <name val="Compasse"/>
      <family val="2"/>
    </font>
    <font>
      <b/>
      <sz val="12"/>
      <color theme="0"/>
      <name val="Compasse"/>
      <family val="2"/>
    </font>
    <font>
      <sz val="12"/>
      <color theme="1"/>
      <name val="Aptos Narrow"/>
      <family val="2"/>
      <scheme val="minor"/>
    </font>
    <font>
      <sz val="11"/>
      <color theme="0"/>
      <name val="Aptos Narrow"/>
      <family val="2"/>
      <scheme val="minor"/>
    </font>
    <font>
      <b/>
      <sz val="9"/>
      <color rgb="FFFFFFFF"/>
      <name val="Compasse"/>
    </font>
    <font>
      <sz val="9"/>
      <color rgb="FF635C56"/>
      <name val="Compasse"/>
    </font>
    <font>
      <b/>
      <sz val="10"/>
      <color rgb="FF404040"/>
      <name val="Compasse"/>
      <family val="2"/>
    </font>
    <font>
      <sz val="10"/>
      <color rgb="FF404040"/>
      <name val="Compasse Light"/>
      <family val="2"/>
    </font>
    <font>
      <b/>
      <sz val="10"/>
      <color rgb="FF0A4263"/>
      <name val="Compasse"/>
      <family val="2"/>
    </font>
    <font>
      <sz val="11"/>
      <color rgb="FFFF0000"/>
      <name val="Compasse"/>
      <family val="2"/>
    </font>
    <font>
      <sz val="11"/>
      <name val="Aptos Narrow"/>
      <family val="2"/>
      <scheme val="minor"/>
    </font>
    <font>
      <sz val="11"/>
      <color rgb="FFFF0000"/>
      <name val="Aptos Narrow"/>
      <family val="2"/>
      <scheme val="minor"/>
    </font>
    <font>
      <sz val="11"/>
      <color rgb="FFFF0000"/>
      <name val="Segoe UI"/>
      <family val="2"/>
    </font>
    <font>
      <sz val="9"/>
      <color rgb="FF635C56"/>
      <name val="Segoe UI"/>
    </font>
    <font>
      <b/>
      <sz val="12"/>
      <color theme="0"/>
      <name val="Segoe UI"/>
      <family val="2"/>
    </font>
    <font>
      <sz val="11"/>
      <color theme="0"/>
      <name val="Segoe UI"/>
      <family val="2"/>
    </font>
    <font>
      <sz val="9"/>
      <color theme="0"/>
      <name val="Segoe UI"/>
      <family val="2"/>
    </font>
    <font>
      <sz val="12"/>
      <color theme="0"/>
      <name val="Segoe UI"/>
      <family val="2"/>
    </font>
  </fonts>
  <fills count="6">
    <fill>
      <patternFill patternType="none"/>
    </fill>
    <fill>
      <patternFill patternType="gray125"/>
    </fill>
    <fill>
      <patternFill patternType="solid">
        <fgColor rgb="FF003768"/>
        <bgColor indexed="64"/>
      </patternFill>
    </fill>
    <fill>
      <patternFill patternType="solid">
        <fgColor rgb="FFF2F2F2"/>
        <bgColor indexed="64"/>
      </patternFill>
    </fill>
    <fill>
      <patternFill patternType="solid">
        <fgColor rgb="FF004263"/>
        <bgColor indexed="64"/>
      </patternFill>
    </fill>
    <fill>
      <patternFill patternType="solid">
        <fgColor theme="0" tint="-4.9989318521683403E-2"/>
        <bgColor indexed="64"/>
      </patternFill>
    </fill>
  </fills>
  <borders count="5">
    <border>
      <left/>
      <right/>
      <top/>
      <bottom/>
      <diagonal/>
    </border>
    <border>
      <left/>
      <right/>
      <top style="dashed">
        <color theme="0" tint="-0.24994659260841701"/>
      </top>
      <bottom style="dashed">
        <color theme="0" tint="-0.24994659260841701"/>
      </bottom>
      <diagonal/>
    </border>
    <border>
      <left/>
      <right/>
      <top/>
      <bottom style="dashed">
        <color theme="0" tint="-0.24994659260841701"/>
      </bottom>
      <diagonal/>
    </border>
    <border>
      <left/>
      <right/>
      <top/>
      <bottom style="dashed">
        <color rgb="FFBFBFBF"/>
      </bottom>
      <diagonal/>
    </border>
    <border>
      <left/>
      <right/>
      <top style="dashed">
        <color rgb="FFBFBFBF"/>
      </top>
      <bottom style="dashed">
        <color rgb="FFBFBFBF"/>
      </bottom>
      <diagonal/>
    </border>
  </borders>
  <cellStyleXfs count="6">
    <xf numFmtId="0" fontId="0" fillId="0" borderId="0"/>
    <xf numFmtId="9" fontId="1" fillId="0" borderId="0" applyFont="0" applyFill="0" applyBorder="0" applyAlignment="0" applyProtection="0"/>
    <xf numFmtId="166" fontId="10" fillId="0" borderId="0" applyFont="0" applyFill="0" applyBorder="0" applyAlignment="0" applyProtection="0"/>
    <xf numFmtId="0" fontId="10" fillId="0" borderId="0"/>
    <xf numFmtId="0" fontId="10" fillId="0" borderId="0"/>
    <xf numFmtId="43" fontId="1" fillId="0" borderId="0" applyFont="0" applyFill="0" applyBorder="0" applyAlignment="0" applyProtection="0"/>
  </cellStyleXfs>
  <cellXfs count="82">
    <xf numFmtId="0" fontId="0" fillId="0" borderId="0" xfId="0"/>
    <xf numFmtId="0" fontId="2" fillId="0" borderId="0" xfId="0" applyFont="1"/>
    <xf numFmtId="0" fontId="3" fillId="0" borderId="0" xfId="0" applyFont="1"/>
    <xf numFmtId="0" fontId="4" fillId="0" borderId="0" xfId="0" applyFont="1"/>
    <xf numFmtId="164" fontId="5" fillId="0" borderId="0" xfId="0" applyNumberFormat="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6" fillId="0" borderId="0" xfId="0" applyFont="1"/>
    <xf numFmtId="0" fontId="2" fillId="0" borderId="0" xfId="0" applyFont="1" applyAlignment="1">
      <alignment horizontal="left"/>
    </xf>
    <xf numFmtId="0" fontId="0" fillId="0" borderId="0" xfId="0" applyAlignment="1">
      <alignment horizontal="left"/>
    </xf>
    <xf numFmtId="0" fontId="8" fillId="0" borderId="0" xfId="0" applyFont="1"/>
    <xf numFmtId="0" fontId="9" fillId="0" borderId="0" xfId="0" applyFont="1"/>
    <xf numFmtId="164" fontId="11" fillId="0" borderId="0" xfId="0" applyNumberFormat="1" applyFont="1" applyAlignment="1">
      <alignment horizontal="center" vertical="center"/>
    </xf>
    <xf numFmtId="169" fontId="12" fillId="0" borderId="0" xfId="2" applyNumberFormat="1" applyFont="1" applyAlignment="1">
      <alignment horizontal="center" vertical="center"/>
    </xf>
    <xf numFmtId="164" fontId="13" fillId="0" borderId="0" xfId="2" applyNumberFormat="1" applyFont="1" applyAlignment="1">
      <alignment horizontal="center" vertical="center"/>
    </xf>
    <xf numFmtId="164" fontId="13" fillId="0" borderId="0" xfId="3" applyNumberFormat="1" applyFont="1" applyAlignment="1">
      <alignment horizontal="center" vertical="center"/>
    </xf>
    <xf numFmtId="164" fontId="13" fillId="0" borderId="0" xfId="3" applyNumberFormat="1" applyFont="1" applyAlignment="1">
      <alignment horizontal="left" vertical="center" indent="1"/>
    </xf>
    <xf numFmtId="1" fontId="14" fillId="4" borderId="0" xfId="4" quotePrefix="1" applyNumberFormat="1" applyFont="1" applyFill="1" applyAlignment="1">
      <alignment horizontal="center" vertical="center"/>
    </xf>
    <xf numFmtId="164" fontId="15" fillId="0" borderId="0" xfId="0" applyNumberFormat="1" applyFont="1" applyAlignment="1">
      <alignment horizontal="center" vertical="center"/>
    </xf>
    <xf numFmtId="171" fontId="14" fillId="4" borderId="0" xfId="4" quotePrefix="1" applyNumberFormat="1" applyFont="1" applyFill="1" applyAlignment="1">
      <alignment horizontal="center" vertical="center"/>
    </xf>
    <xf numFmtId="164" fontId="14" fillId="4" borderId="0" xfId="3" applyNumberFormat="1" applyFont="1" applyFill="1" applyAlignment="1">
      <alignment horizontal="center" vertical="center"/>
    </xf>
    <xf numFmtId="164" fontId="14" fillId="4" borderId="0" xfId="3" applyNumberFormat="1" applyFont="1" applyFill="1" applyAlignment="1">
      <alignment horizontal="left" vertical="center" indent="1"/>
    </xf>
    <xf numFmtId="0" fontId="16" fillId="0" borderId="0" xfId="0" applyFont="1"/>
    <xf numFmtId="0" fontId="17" fillId="2" borderId="0" xfId="0" applyFont="1" applyFill="1" applyAlignment="1">
      <alignment horizontal="center" vertical="center" wrapText="1" readingOrder="1"/>
    </xf>
    <xf numFmtId="3" fontId="17" fillId="2" borderId="0" xfId="0" applyNumberFormat="1" applyFont="1" applyFill="1" applyAlignment="1">
      <alignment horizontal="center" vertical="center" wrapText="1" readingOrder="1"/>
    </xf>
    <xf numFmtId="0" fontId="18" fillId="0" borderId="2" xfId="0" applyFont="1" applyBorder="1" applyAlignment="1">
      <alignment horizontal="center" vertical="center" wrapText="1" readingOrder="1"/>
    </xf>
    <xf numFmtId="0" fontId="18" fillId="0" borderId="1" xfId="0" applyFont="1" applyBorder="1" applyAlignment="1">
      <alignment horizontal="center" vertical="center" wrapText="1" readingOrder="1"/>
    </xf>
    <xf numFmtId="10" fontId="17" fillId="2" borderId="0" xfId="1" applyNumberFormat="1" applyFont="1" applyFill="1" applyAlignment="1">
      <alignment horizontal="center" vertical="center" wrapText="1" readingOrder="1"/>
    </xf>
    <xf numFmtId="165" fontId="17" fillId="2" borderId="0" xfId="0" applyNumberFormat="1" applyFont="1" applyFill="1" applyAlignment="1">
      <alignment horizontal="center" vertical="center" wrapText="1" readingOrder="1"/>
    </xf>
    <xf numFmtId="9" fontId="17" fillId="2" borderId="0" xfId="0" applyNumberFormat="1" applyFont="1" applyFill="1" applyAlignment="1">
      <alignment horizontal="center" vertical="center" wrapText="1" readingOrder="1"/>
    </xf>
    <xf numFmtId="168" fontId="17" fillId="2" borderId="0" xfId="0" applyNumberFormat="1" applyFont="1" applyFill="1" applyAlignment="1">
      <alignment horizontal="center" vertical="center" wrapText="1" readingOrder="1"/>
    </xf>
    <xf numFmtId="0" fontId="19" fillId="3" borderId="0" xfId="0" applyFont="1" applyFill="1" applyAlignment="1">
      <alignment vertical="center"/>
    </xf>
    <xf numFmtId="3" fontId="19" fillId="3" borderId="0" xfId="0" applyNumberFormat="1" applyFont="1" applyFill="1" applyAlignment="1">
      <alignment horizontal="center" vertical="center"/>
    </xf>
    <xf numFmtId="0" fontId="20" fillId="0" borderId="0" xfId="0" applyFont="1" applyAlignment="1">
      <alignment horizontal="left" vertical="center" indent="1"/>
    </xf>
    <xf numFmtId="3" fontId="20" fillId="0" borderId="0" xfId="0" applyNumberFormat="1" applyFont="1" applyAlignment="1">
      <alignment horizontal="center" vertical="center"/>
    </xf>
    <xf numFmtId="0" fontId="19" fillId="0" borderId="0" xfId="0" applyFont="1" applyAlignment="1">
      <alignment vertical="center"/>
    </xf>
    <xf numFmtId="3" fontId="19" fillId="0" borderId="0" xfId="0" applyNumberFormat="1" applyFont="1" applyAlignment="1">
      <alignment horizontal="center" vertical="center"/>
    </xf>
    <xf numFmtId="0" fontId="21" fillId="3" borderId="0" xfId="0" applyFont="1" applyFill="1" applyAlignment="1">
      <alignment vertical="center"/>
    </xf>
    <xf numFmtId="170" fontId="21" fillId="3" borderId="0" xfId="0" applyNumberFormat="1" applyFont="1" applyFill="1" applyAlignment="1">
      <alignment horizontal="center" vertical="center"/>
    </xf>
    <xf numFmtId="2" fontId="21" fillId="3" borderId="0" xfId="0" applyNumberFormat="1" applyFont="1" applyFill="1" applyAlignment="1">
      <alignment horizontal="center" vertical="center"/>
    </xf>
    <xf numFmtId="4" fontId="21" fillId="3" borderId="0" xfId="0" applyNumberFormat="1" applyFont="1" applyFill="1" applyAlignment="1">
      <alignment horizontal="center" vertical="center"/>
    </xf>
    <xf numFmtId="43" fontId="5" fillId="0" borderId="0" xfId="5" applyFont="1" applyAlignment="1">
      <alignment horizontal="center" vertical="center"/>
    </xf>
    <xf numFmtId="172" fontId="17" fillId="2" borderId="0" xfId="0" applyNumberFormat="1" applyFont="1" applyFill="1" applyAlignment="1">
      <alignment horizontal="center" vertical="center" wrapText="1" readingOrder="1"/>
    </xf>
    <xf numFmtId="43" fontId="2" fillId="0" borderId="0" xfId="5" applyFont="1"/>
    <xf numFmtId="173" fontId="21" fillId="3" borderId="0" xfId="0" applyNumberFormat="1" applyFont="1" applyFill="1" applyAlignment="1">
      <alignment horizontal="center" vertical="center"/>
    </xf>
    <xf numFmtId="174" fontId="2" fillId="0" borderId="0" xfId="0" applyNumberFormat="1" applyFont="1"/>
    <xf numFmtId="0" fontId="22" fillId="0" borderId="0" xfId="0" applyFont="1"/>
    <xf numFmtId="0" fontId="23" fillId="0" borderId="0" xfId="0" applyFont="1"/>
    <xf numFmtId="165" fontId="17" fillId="2" borderId="0" xfId="1" applyNumberFormat="1" applyFont="1" applyFill="1" applyAlignment="1">
      <alignment horizontal="center" vertical="center" wrapText="1" readingOrder="1"/>
    </xf>
    <xf numFmtId="0" fontId="24" fillId="0" borderId="0" xfId="0" applyFont="1"/>
    <xf numFmtId="0" fontId="25" fillId="0" borderId="0" xfId="0" applyFont="1" applyAlignment="1">
      <alignment horizontal="center"/>
    </xf>
    <xf numFmtId="0" fontId="26" fillId="0" borderId="3" xfId="0" applyFont="1" applyBorder="1" applyAlignment="1">
      <alignment horizontal="center" vertical="center" wrapText="1" readingOrder="1"/>
    </xf>
    <xf numFmtId="10" fontId="26" fillId="0" borderId="3" xfId="0" applyNumberFormat="1" applyFont="1" applyBorder="1" applyAlignment="1">
      <alignment horizontal="center" vertical="center" wrapText="1" readingOrder="1"/>
    </xf>
    <xf numFmtId="3" fontId="26" fillId="0" borderId="3" xfId="0" applyNumberFormat="1" applyFont="1" applyBorder="1" applyAlignment="1">
      <alignment horizontal="center" vertical="center" wrapText="1" readingOrder="1"/>
    </xf>
    <xf numFmtId="0" fontId="26" fillId="0" borderId="4" xfId="0" applyFont="1" applyBorder="1" applyAlignment="1">
      <alignment horizontal="center" vertical="center" wrapText="1" readingOrder="1"/>
    </xf>
    <xf numFmtId="10" fontId="26" fillId="0" borderId="4" xfId="0" applyNumberFormat="1" applyFont="1" applyBorder="1" applyAlignment="1">
      <alignment horizontal="center" vertical="center" wrapText="1" readingOrder="1"/>
    </xf>
    <xf numFmtId="165" fontId="18" fillId="0" borderId="2" xfId="1" applyNumberFormat="1" applyFont="1" applyFill="1" applyBorder="1" applyAlignment="1">
      <alignment horizontal="center" vertical="center" wrapText="1" readingOrder="1"/>
    </xf>
    <xf numFmtId="172" fontId="18" fillId="0" borderId="2" xfId="1" applyNumberFormat="1" applyFont="1" applyFill="1" applyBorder="1" applyAlignment="1">
      <alignment horizontal="center" vertical="center" wrapText="1" readingOrder="1"/>
    </xf>
    <xf numFmtId="11" fontId="26" fillId="0" borderId="4" xfId="0" applyNumberFormat="1" applyFont="1" applyBorder="1" applyAlignment="1">
      <alignment horizontal="center" vertical="center" wrapText="1" readingOrder="1"/>
    </xf>
    <xf numFmtId="0" fontId="26" fillId="3" borderId="4" xfId="0" applyFont="1" applyFill="1" applyBorder="1" applyAlignment="1">
      <alignment horizontal="center" vertical="center" wrapText="1" readingOrder="1"/>
    </xf>
    <xf numFmtId="10" fontId="26" fillId="3" borderId="4" xfId="0" applyNumberFormat="1" applyFont="1" applyFill="1" applyBorder="1" applyAlignment="1">
      <alignment horizontal="center" vertical="center" wrapText="1" readingOrder="1"/>
    </xf>
    <xf numFmtId="9" fontId="18" fillId="0" borderId="2" xfId="1" applyFont="1" applyFill="1" applyBorder="1" applyAlignment="1">
      <alignment horizontal="center" vertical="center" wrapText="1" readingOrder="1"/>
    </xf>
    <xf numFmtId="9" fontId="26" fillId="3" borderId="4" xfId="0" applyNumberFormat="1" applyFont="1" applyFill="1" applyBorder="1" applyAlignment="1">
      <alignment horizontal="center" vertical="center" wrapText="1" readingOrder="1"/>
    </xf>
    <xf numFmtId="9" fontId="26" fillId="0" borderId="4" xfId="0" applyNumberFormat="1" applyFont="1" applyBorder="1" applyAlignment="1">
      <alignment horizontal="center" vertical="center" wrapText="1" readingOrder="1"/>
    </xf>
    <xf numFmtId="168" fontId="18" fillId="0" borderId="2" xfId="1" applyNumberFormat="1" applyFont="1" applyFill="1" applyBorder="1" applyAlignment="1">
      <alignment horizontal="center" vertical="center" wrapText="1" readingOrder="1"/>
    </xf>
    <xf numFmtId="164" fontId="27" fillId="0" borderId="0" xfId="3" applyNumberFormat="1" applyFont="1" applyAlignment="1">
      <alignment horizontal="center" vertical="center"/>
    </xf>
    <xf numFmtId="167" fontId="27" fillId="0" borderId="0" xfId="2" applyNumberFormat="1" applyFont="1" applyBorder="1" applyAlignment="1">
      <alignment horizontal="center" vertical="center"/>
    </xf>
    <xf numFmtId="167" fontId="27" fillId="0" borderId="0" xfId="2" applyNumberFormat="1" applyFont="1" applyFill="1" applyBorder="1" applyAlignment="1">
      <alignment horizontal="center" vertical="center"/>
    </xf>
    <xf numFmtId="0" fontId="28" fillId="0" borderId="0" xfId="0" applyFont="1"/>
    <xf numFmtId="0" fontId="29" fillId="0" borderId="0" xfId="0" applyFont="1" applyAlignment="1">
      <alignment horizontal="center" vertical="center" wrapText="1" readingOrder="1"/>
    </xf>
    <xf numFmtId="165" fontId="30" fillId="0" borderId="0" xfId="1" applyNumberFormat="1" applyFont="1" applyAlignment="1">
      <alignment horizontal="center" vertical="center"/>
    </xf>
    <xf numFmtId="0" fontId="28" fillId="0" borderId="0" xfId="0" applyFont="1" applyAlignment="1">
      <alignment horizontal="center"/>
    </xf>
    <xf numFmtId="0" fontId="30" fillId="0" borderId="0" xfId="0" applyFont="1" applyAlignment="1">
      <alignment horizontal="center"/>
    </xf>
    <xf numFmtId="0" fontId="30" fillId="0" borderId="0" xfId="0" applyFont="1" applyAlignment="1">
      <alignment horizontal="center" vertical="center" wrapText="1" readingOrder="1"/>
    </xf>
    <xf numFmtId="9" fontId="30" fillId="0" borderId="0" xfId="1" applyFont="1" applyAlignment="1">
      <alignment horizontal="center"/>
    </xf>
    <xf numFmtId="165" fontId="16" fillId="0" borderId="0" xfId="1" applyNumberFormat="1" applyFont="1" applyAlignment="1">
      <alignment horizontal="center"/>
    </xf>
    <xf numFmtId="0" fontId="3" fillId="0" borderId="0" xfId="0" applyFont="1" applyAlignment="1">
      <alignment horizontal="left" vertical="center" wrapText="1"/>
    </xf>
    <xf numFmtId="165" fontId="18" fillId="0" borderId="0" xfId="1" applyNumberFormat="1" applyFont="1" applyFill="1" applyBorder="1" applyAlignment="1">
      <alignment horizontal="center" vertical="center" wrapText="1" readingOrder="1"/>
    </xf>
    <xf numFmtId="172" fontId="18" fillId="0" borderId="0" xfId="1" applyNumberFormat="1" applyFont="1" applyFill="1" applyBorder="1" applyAlignment="1">
      <alignment horizontal="center" vertical="center" wrapText="1" readingOrder="1"/>
    </xf>
    <xf numFmtId="9" fontId="18" fillId="0" borderId="0" xfId="1" applyFont="1" applyFill="1" applyBorder="1" applyAlignment="1">
      <alignment horizontal="center" vertical="center" wrapText="1" readingOrder="1"/>
    </xf>
    <xf numFmtId="168" fontId="18" fillId="0" borderId="0" xfId="1" applyNumberFormat="1" applyFont="1" applyFill="1" applyBorder="1" applyAlignment="1">
      <alignment horizontal="center" vertical="center" wrapText="1" readingOrder="1"/>
    </xf>
    <xf numFmtId="3" fontId="26" fillId="5" borderId="3" xfId="0" applyNumberFormat="1" applyFont="1" applyFill="1" applyBorder="1" applyAlignment="1">
      <alignment horizontal="center" vertical="center" wrapText="1" readingOrder="1"/>
    </xf>
  </cellXfs>
  <cellStyles count="6">
    <cellStyle name="Normal" xfId="0" builtinId="0"/>
    <cellStyle name="Normal 3" xfId="3" xr:uid="{66839948-7993-4FC5-97C1-1A82E0FC9E2B}"/>
    <cellStyle name="Normal_Projetos_2tri05" xfId="4" xr:uid="{8C2008AF-8F41-4589-963F-6A7D85AEFC0D}"/>
    <cellStyle name="Porcentagem" xfId="1" builtinId="5"/>
    <cellStyle name="Vírgula" xfId="5" builtinId="3"/>
    <cellStyle name="Vírgula 2" xfId="2" xr:uid="{8A39941F-757F-4BC8-880D-EB5E3FFD20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0/07/relationships/rdRichValueWebImage" Target="richData/rdRichValueWebImage.xml"/><Relationship Id="rId13" Type="http://schemas.microsoft.com/office/2017/06/relationships/rdSupportingPropertyBagStructure" Target="richData/rdsupportingpropertybagstructure.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06/relationships/richStyles" Target="richData/richStyles.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Array" Target="richData/rdarray.xml"/><Relationship Id="rId5" Type="http://schemas.openxmlformats.org/officeDocument/2006/relationships/styles" Target="styles.xml"/><Relationship Id="rId15" Type="http://schemas.microsoft.com/office/2017/06/relationships/rdRichValueTypes" Target="richData/rdRichValueTyp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microsoft.com/office/2017/06/relationships/rdSupportingPropertyBag" Target="richData/rdsupportingpropertybag.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pt-BR"/>
              <a:t>% dos CRIs por Vencimento e Duration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title>
    <c:autoTitleDeleted val="0"/>
    <c:plotArea>
      <c:layout/>
      <c:barChart>
        <c:barDir val="col"/>
        <c:grouping val="clustered"/>
        <c:varyColors val="0"/>
        <c:ser>
          <c:idx val="0"/>
          <c:order val="0"/>
          <c:tx>
            <c:strRef>
              <c:f>Portfólio!$C$136</c:f>
              <c:strCache>
                <c:ptCount val="1"/>
                <c:pt idx="0">
                  <c:v>Vencimento</c:v>
                </c:pt>
              </c:strCache>
            </c:strRef>
          </c:tx>
          <c:spPr>
            <a:solidFill>
              <a:srgbClr val="1D86B5"/>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Portfólio!$B$137:$B$145</c:f>
              <c:strCache>
                <c:ptCount val="9"/>
                <c:pt idx="0">
                  <c:v>2025</c:v>
                </c:pt>
                <c:pt idx="1">
                  <c:v>2026</c:v>
                </c:pt>
                <c:pt idx="2">
                  <c:v>2027</c:v>
                </c:pt>
                <c:pt idx="3">
                  <c:v>2028</c:v>
                </c:pt>
                <c:pt idx="4">
                  <c:v>2029</c:v>
                </c:pt>
                <c:pt idx="5">
                  <c:v>2030</c:v>
                </c:pt>
                <c:pt idx="6">
                  <c:v>2031</c:v>
                </c:pt>
                <c:pt idx="7">
                  <c:v>2032</c:v>
                </c:pt>
                <c:pt idx="8">
                  <c:v>2033+</c:v>
                </c:pt>
              </c:strCache>
            </c:strRef>
          </c:cat>
          <c:val>
            <c:numRef>
              <c:f>Portfólio!$C$137:$C$145</c:f>
              <c:numCache>
                <c:formatCode>0%</c:formatCode>
                <c:ptCount val="9"/>
                <c:pt idx="0">
                  <c:v>0</c:v>
                </c:pt>
                <c:pt idx="1">
                  <c:v>8.8235294117647065E-2</c:v>
                </c:pt>
                <c:pt idx="2">
                  <c:v>5.8823529411764705E-2</c:v>
                </c:pt>
                <c:pt idx="3">
                  <c:v>0.11764705882352941</c:v>
                </c:pt>
                <c:pt idx="4">
                  <c:v>0</c:v>
                </c:pt>
                <c:pt idx="5">
                  <c:v>5.8823529411764705E-2</c:v>
                </c:pt>
                <c:pt idx="6">
                  <c:v>0.14705882352941177</c:v>
                </c:pt>
                <c:pt idx="7">
                  <c:v>8.8235294117647065E-2</c:v>
                </c:pt>
                <c:pt idx="8">
                  <c:v>0.47058823529411764</c:v>
                </c:pt>
              </c:numCache>
            </c:numRef>
          </c:val>
          <c:extLst>
            <c:ext xmlns:c16="http://schemas.microsoft.com/office/drawing/2014/chart" uri="{C3380CC4-5D6E-409C-BE32-E72D297353CC}">
              <c16:uniqueId val="{00000000-37A4-476B-BEC7-84F7A98D7414}"/>
            </c:ext>
          </c:extLst>
        </c:ser>
        <c:ser>
          <c:idx val="1"/>
          <c:order val="1"/>
          <c:tx>
            <c:strRef>
              <c:f>Portfólio!$D$136</c:f>
              <c:strCache>
                <c:ptCount val="1"/>
                <c:pt idx="0">
                  <c:v>Duration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Portfólio!$B$137:$B$145</c:f>
              <c:strCache>
                <c:ptCount val="9"/>
                <c:pt idx="0">
                  <c:v>2025</c:v>
                </c:pt>
                <c:pt idx="1">
                  <c:v>2026</c:v>
                </c:pt>
                <c:pt idx="2">
                  <c:v>2027</c:v>
                </c:pt>
                <c:pt idx="3">
                  <c:v>2028</c:v>
                </c:pt>
                <c:pt idx="4">
                  <c:v>2029</c:v>
                </c:pt>
                <c:pt idx="5">
                  <c:v>2030</c:v>
                </c:pt>
                <c:pt idx="6">
                  <c:v>2031</c:v>
                </c:pt>
                <c:pt idx="7">
                  <c:v>2032</c:v>
                </c:pt>
                <c:pt idx="8">
                  <c:v>2033+</c:v>
                </c:pt>
              </c:strCache>
            </c:strRef>
          </c:cat>
          <c:val>
            <c:numRef>
              <c:f>Portfólio!$D$137:$D$145</c:f>
              <c:numCache>
                <c:formatCode>0%</c:formatCode>
                <c:ptCount val="9"/>
                <c:pt idx="0">
                  <c:v>0</c:v>
                </c:pt>
                <c:pt idx="1">
                  <c:v>6.25E-2</c:v>
                </c:pt>
                <c:pt idx="2">
                  <c:v>0.15625</c:v>
                </c:pt>
                <c:pt idx="3">
                  <c:v>0.4375</c:v>
                </c:pt>
                <c:pt idx="4">
                  <c:v>0.1875</c:v>
                </c:pt>
                <c:pt idx="5">
                  <c:v>6.25E-2</c:v>
                </c:pt>
                <c:pt idx="6">
                  <c:v>0.125</c:v>
                </c:pt>
                <c:pt idx="7">
                  <c:v>6.25E-2</c:v>
                </c:pt>
                <c:pt idx="8">
                  <c:v>0</c:v>
                </c:pt>
              </c:numCache>
            </c:numRef>
          </c:val>
          <c:extLst>
            <c:ext xmlns:c16="http://schemas.microsoft.com/office/drawing/2014/chart" uri="{C3380CC4-5D6E-409C-BE32-E72D297353CC}">
              <c16:uniqueId val="{00000001-37A4-476B-BEC7-84F7A98D7414}"/>
            </c:ext>
          </c:extLst>
        </c:ser>
        <c:dLbls>
          <c:showLegendKey val="0"/>
          <c:showVal val="0"/>
          <c:showCatName val="0"/>
          <c:showSerName val="0"/>
          <c:showPercent val="0"/>
          <c:showBubbleSize val="0"/>
        </c:dLbls>
        <c:gapWidth val="100"/>
        <c:overlap val="-5"/>
        <c:axId val="19988112"/>
        <c:axId val="19989072"/>
      </c:barChart>
      <c:catAx>
        <c:axId val="199881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crossAx val="19989072"/>
        <c:crosses val="autoZero"/>
        <c:auto val="1"/>
        <c:lblAlgn val="ctr"/>
        <c:lblOffset val="100"/>
        <c:tickMarkSkip val="1"/>
        <c:noMultiLvlLbl val="0"/>
      </c:catAx>
      <c:valAx>
        <c:axId val="19989072"/>
        <c:scaling>
          <c:orientation val="minMax"/>
        </c:scaling>
        <c:delete val="1"/>
        <c:axPos val="l"/>
        <c:numFmt formatCode="0%" sourceLinked="1"/>
        <c:majorTickMark val="none"/>
        <c:minorTickMark val="none"/>
        <c:tickLblPos val="nextTo"/>
        <c:crossAx val="19988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title>
    <c:autoTitleDeleted val="0"/>
    <c:plotArea>
      <c:layout>
        <c:manualLayout>
          <c:layoutTarget val="inner"/>
          <c:xMode val="edge"/>
          <c:yMode val="edge"/>
          <c:x val="0.22093569553805775"/>
          <c:y val="0.1428219494785514"/>
          <c:w val="0.59979549431321089"/>
          <c:h val="0.72175960726595878"/>
        </c:manualLayout>
      </c:layout>
      <c:pieChart>
        <c:varyColors val="1"/>
        <c:ser>
          <c:idx val="0"/>
          <c:order val="0"/>
          <c:tx>
            <c:strRef>
              <c:f>Portfólio!$K$136</c:f>
              <c:strCache>
                <c:ptCount val="1"/>
                <c:pt idx="0">
                  <c:v>Indexador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20-4B18-B2E1-7B2541AB6F79}"/>
              </c:ext>
            </c:extLst>
          </c:dPt>
          <c:dPt>
            <c:idx val="1"/>
            <c:bubble3D val="0"/>
            <c:spPr>
              <a:solidFill>
                <a:srgbClr val="1D86B5"/>
              </a:solidFill>
              <a:ln w="19050">
                <a:solidFill>
                  <a:schemeClr val="lt1"/>
                </a:solidFill>
              </a:ln>
              <a:effectLst/>
            </c:spPr>
            <c:extLst>
              <c:ext xmlns:c16="http://schemas.microsoft.com/office/drawing/2014/chart" uri="{C3380CC4-5D6E-409C-BE32-E72D297353CC}">
                <c16:uniqueId val="{00000003-3620-4B18-B2E1-7B2541AB6F7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B3E-4591-98F5-6ED9DB884775}"/>
              </c:ext>
            </c:extLst>
          </c:dPt>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Portfólio!$J$137:$J$139</c:f>
              <c:strCache>
                <c:ptCount val="3"/>
                <c:pt idx="0">
                  <c:v>IPCA</c:v>
                </c:pt>
                <c:pt idx="1">
                  <c:v>CDI </c:v>
                </c:pt>
                <c:pt idx="2">
                  <c:v>Pré</c:v>
                </c:pt>
              </c:strCache>
            </c:strRef>
          </c:cat>
          <c:val>
            <c:numRef>
              <c:f>Portfólio!$K$137:$K$139</c:f>
              <c:numCache>
                <c:formatCode>0%</c:formatCode>
                <c:ptCount val="3"/>
                <c:pt idx="0">
                  <c:v>0.88408811700473955</c:v>
                </c:pt>
                <c:pt idx="1">
                  <c:v>0.13215579254431983</c:v>
                </c:pt>
                <c:pt idx="2">
                  <c:v>2.642438598787689E-2</c:v>
                </c:pt>
              </c:numCache>
            </c:numRef>
          </c:val>
          <c:extLst>
            <c:ext xmlns:c16="http://schemas.microsoft.com/office/drawing/2014/chart" uri="{C3380CC4-5D6E-409C-BE32-E72D297353CC}">
              <c16:uniqueId val="{00000004-3620-4B18-B2E1-7B2541AB6F7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Segoe UI" panose="020B0502040204020203" pitchFamily="34" charset="0"/>
              <a:ea typeface="+mn-ea"/>
              <a:cs typeface="Segoe UI" panose="020B0502040204020203" pitchFamily="34" charset="0"/>
            </a:defRPr>
          </a:pPr>
          <a:endParaRPr lang="pt-BR"/>
        </a:p>
      </c:txPr>
    </c:title>
    <c:autoTitleDeleted val="0"/>
    <c:plotArea>
      <c:layout/>
      <c:barChart>
        <c:barDir val="bar"/>
        <c:grouping val="clustered"/>
        <c:varyColors val="0"/>
        <c:ser>
          <c:idx val="0"/>
          <c:order val="0"/>
          <c:tx>
            <c:strRef>
              <c:f>Portfólio!$N$136</c:f>
              <c:strCache>
                <c:ptCount val="1"/>
                <c:pt idx="0">
                  <c:v>Segmento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Portfólio!$M$137:$M$145</c:f>
              <c:strCache>
                <c:ptCount val="8"/>
                <c:pt idx="0">
                  <c:v>Galpões Logísticos</c:v>
                </c:pt>
                <c:pt idx="1">
                  <c:v>Residencial</c:v>
                </c:pt>
                <c:pt idx="2">
                  <c:v>Corporativo</c:v>
                </c:pt>
                <c:pt idx="3">
                  <c:v>Energia</c:v>
                </c:pt>
                <c:pt idx="4">
                  <c:v>Loteamento</c:v>
                </c:pt>
                <c:pt idx="5">
                  <c:v>Outros</c:v>
                </c:pt>
                <c:pt idx="6">
                  <c:v>Home Equity</c:v>
                </c:pt>
                <c:pt idx="7">
                  <c:v>Varejo</c:v>
                </c:pt>
              </c:strCache>
            </c:strRef>
          </c:cat>
          <c:val>
            <c:numRef>
              <c:f>Portfólio!$N$137:$N$145</c:f>
              <c:numCache>
                <c:formatCode>0%</c:formatCode>
                <c:ptCount val="9"/>
                <c:pt idx="0">
                  <c:v>0.25316872782171262</c:v>
                </c:pt>
                <c:pt idx="1">
                  <c:v>0.21757761099981493</c:v>
                </c:pt>
                <c:pt idx="2">
                  <c:v>0.20627635051271995</c:v>
                </c:pt>
                <c:pt idx="3">
                  <c:v>0.15357557603867153</c:v>
                </c:pt>
                <c:pt idx="4">
                  <c:v>9.2698782571390886E-2</c:v>
                </c:pt>
                <c:pt idx="5">
                  <c:v>4.3316854719160219E-2</c:v>
                </c:pt>
                <c:pt idx="6">
                  <c:v>3.3530934610879463E-2</c:v>
                </c:pt>
                <c:pt idx="7">
                  <c:v>4.2523458262586696E-2</c:v>
                </c:pt>
              </c:numCache>
            </c:numRef>
          </c:val>
          <c:extLst>
            <c:ext xmlns:c16="http://schemas.microsoft.com/office/drawing/2014/chart" uri="{C3380CC4-5D6E-409C-BE32-E72D297353CC}">
              <c16:uniqueId val="{00000000-94A8-42BF-9421-52C914533962}"/>
            </c:ext>
          </c:extLst>
        </c:ser>
        <c:dLbls>
          <c:showLegendKey val="0"/>
          <c:showVal val="0"/>
          <c:showCatName val="0"/>
          <c:showSerName val="0"/>
          <c:showPercent val="0"/>
          <c:showBubbleSize val="0"/>
        </c:dLbls>
        <c:gapWidth val="50"/>
        <c:axId val="1017731152"/>
        <c:axId val="1017735472"/>
      </c:barChart>
      <c:catAx>
        <c:axId val="1017731152"/>
        <c:scaling>
          <c:orientation val="maxMin"/>
        </c:scaling>
        <c:delete val="0"/>
        <c:axPos val="l"/>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Segoe UI" panose="020B0502040204020203" pitchFamily="34" charset="0"/>
                <a:ea typeface="+mn-ea"/>
                <a:cs typeface="Segoe UI" panose="020B0502040204020203" pitchFamily="34" charset="0"/>
              </a:defRPr>
            </a:pPr>
            <a:endParaRPr lang="pt-BR"/>
          </a:p>
        </c:txPr>
        <c:crossAx val="1017735472"/>
        <c:crosses val="autoZero"/>
        <c:auto val="1"/>
        <c:lblAlgn val="ctr"/>
        <c:lblOffset val="100"/>
        <c:noMultiLvlLbl val="0"/>
      </c:catAx>
      <c:valAx>
        <c:axId val="1017735472"/>
        <c:scaling>
          <c:orientation val="minMax"/>
        </c:scaling>
        <c:delete val="1"/>
        <c:axPos val="t"/>
        <c:numFmt formatCode="0%" sourceLinked="1"/>
        <c:majorTickMark val="none"/>
        <c:minorTickMark val="none"/>
        <c:tickLblPos val="nextTo"/>
        <c:crossAx val="1017731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LTV</a:t>
            </a:r>
          </a:p>
          <a:p>
            <a:pPr>
              <a:defRPr/>
            </a:pPr>
            <a:r>
              <a:rPr lang="en-US" sz="1200" baseline="0"/>
              <a:t>Médio =  51%</a:t>
            </a:r>
            <a:endParaRPr lang="en-US"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title>
    <c:autoTitleDeleted val="0"/>
    <c:plotArea>
      <c:layout/>
      <c:barChart>
        <c:barDir val="bar"/>
        <c:grouping val="clustered"/>
        <c:varyColors val="0"/>
        <c:ser>
          <c:idx val="0"/>
          <c:order val="0"/>
          <c:tx>
            <c:strRef>
              <c:f>Portfólio!$Q$136</c:f>
              <c:strCache>
                <c:ptCount val="1"/>
                <c:pt idx="0">
                  <c:v>LTV</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Portfólio!$P$137:$P$140</c:f>
              <c:strCache>
                <c:ptCount val="4"/>
                <c:pt idx="0">
                  <c:v>0% - 25%</c:v>
                </c:pt>
                <c:pt idx="1">
                  <c:v>26% - 50%</c:v>
                </c:pt>
                <c:pt idx="2">
                  <c:v>51% - 75%</c:v>
                </c:pt>
                <c:pt idx="3">
                  <c:v>76% - 100%</c:v>
                </c:pt>
              </c:strCache>
            </c:strRef>
          </c:cat>
          <c:val>
            <c:numRef>
              <c:f>Portfólio!$Q$137:$Q$140</c:f>
              <c:numCache>
                <c:formatCode>0.0%</c:formatCode>
                <c:ptCount val="4"/>
                <c:pt idx="0">
                  <c:v>0.17090019313915253</c:v>
                </c:pt>
                <c:pt idx="1">
                  <c:v>0.48844092564786429</c:v>
                </c:pt>
                <c:pt idx="2">
                  <c:v>0.34532503284632798</c:v>
                </c:pt>
                <c:pt idx="3">
                  <c:v>3.8002143903591495E-2</c:v>
                </c:pt>
              </c:numCache>
            </c:numRef>
          </c:val>
          <c:extLst>
            <c:ext xmlns:c16="http://schemas.microsoft.com/office/drawing/2014/chart" uri="{C3380CC4-5D6E-409C-BE32-E72D297353CC}">
              <c16:uniqueId val="{00000000-B805-4BAE-8E9D-E393AD35AB0E}"/>
            </c:ext>
          </c:extLst>
        </c:ser>
        <c:dLbls>
          <c:showLegendKey val="0"/>
          <c:showVal val="0"/>
          <c:showCatName val="0"/>
          <c:showSerName val="0"/>
          <c:showPercent val="0"/>
          <c:showBubbleSize val="0"/>
        </c:dLbls>
        <c:gapWidth val="50"/>
        <c:axId val="1064452560"/>
        <c:axId val="1064450160"/>
      </c:barChart>
      <c:catAx>
        <c:axId val="10644525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pt-BR"/>
          </a:p>
        </c:txPr>
        <c:crossAx val="1064450160"/>
        <c:crosses val="autoZero"/>
        <c:auto val="1"/>
        <c:lblAlgn val="ctr"/>
        <c:lblOffset val="100"/>
        <c:noMultiLvlLbl val="0"/>
      </c:catAx>
      <c:valAx>
        <c:axId val="1064450160"/>
        <c:scaling>
          <c:orientation val="minMax"/>
        </c:scaling>
        <c:delete val="1"/>
        <c:axPos val="t"/>
        <c:numFmt formatCode="0.0%" sourceLinked="1"/>
        <c:majorTickMark val="none"/>
        <c:minorTickMark val="none"/>
        <c:tickLblPos val="nextTo"/>
        <c:crossAx val="1064452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pt-B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11">
          <cx:pt idx="0">29821</cx:pt>
          <cx:pt idx="1"/>
          <cx:pt idx="2">37692</cx:pt>
          <cx:pt idx="3">12285</cx:pt>
          <cx:pt idx="4">29612</cx:pt>
          <cx:pt idx="5">9132</cx:pt>
          <cx:pt idx="6">20600</cx:pt>
          <cx:pt idx="7">27818</cx:pt>
          <cx:pt idx="8">27825</cx:pt>
          <cx:pt idx="9">25190</cx:pt>
          <cx:pt idx="10">25687</cx:pt>
        </cx:lvl>
      </cx:strDim>
      <cx:strDim type="cat">
        <cx:f>_xlchart.v6.1</cx:f>
        <cx:nf>_xlchart.v6.0</cx:nf>
      </cx:strDim>
      <cx:numDim type="colorVal">
        <cx:f>_xlchart.v6.2</cx:f>
        <cx:nf>_xlchart.v6.3</cx:nf>
      </cx:numDim>
    </cx:data>
  </cx:chartData>
  <cx:chart>
    <cx:title pos="t" align="ctr" overlay="0">
      <cx:tx>
        <cx:txData>
          <cx:v>Localização</cx:v>
        </cx:txData>
      </cx:tx>
      <cx:txPr>
        <a:bodyPr spcFirstLastPara="1" vertOverflow="ellipsis" horzOverflow="overflow" wrap="square" lIns="0" tIns="0" rIns="0" bIns="0" anchor="ctr" anchorCtr="1"/>
        <a:lstStyle/>
        <a:p>
          <a:pPr algn="ctr" rtl="0">
            <a:defRPr>
              <a:latin typeface="Segoe UI" panose="020B0502040204020203" pitchFamily="34" charset="0"/>
              <a:ea typeface="Segoe UI" panose="020B0502040204020203" pitchFamily="34" charset="0"/>
              <a:cs typeface="Segoe UI" panose="020B0502040204020203" pitchFamily="34" charset="0"/>
            </a:defRPr>
          </a:pPr>
          <a:r>
            <a:rPr lang="en-US" sz="1400" b="0" i="0" u="none" strike="noStrike" baseline="0">
              <a:solidFill>
                <a:sysClr val="windowText" lastClr="000000">
                  <a:lumMod val="65000"/>
                  <a:lumOff val="35000"/>
                </a:sysClr>
              </a:solidFill>
              <a:latin typeface="Segoe UI" panose="020B0502040204020203" pitchFamily="34" charset="0"/>
              <a:cs typeface="Segoe UI" panose="020B0502040204020203" pitchFamily="34" charset="0"/>
            </a:rPr>
            <a:t>Localização</a:t>
          </a:r>
        </a:p>
      </cx:txPr>
    </cx:title>
    <cx:plotArea>
      <cx:plotAreaRegion>
        <cx:series layoutId="regionMap" uniqueId="{7AF53D91-B5D9-4B0C-803C-6F06056AE173}" formatIdx="0">
          <cx:tx>
            <cx:txData>
              <cx:f/>
              <cx:v>% CRI </cx:v>
            </cx:txData>
          </cx:tx>
          <cx:dataLabels>
            <cx:txPr>
              <a:bodyPr spcFirstLastPara="1" vertOverflow="ellipsis" horzOverflow="overflow" wrap="square" lIns="0" tIns="0" rIns="0" bIns="0" anchor="ctr" anchorCtr="1"/>
              <a:lstStyle/>
              <a:p>
                <a:pPr algn="ctr" rtl="0">
                  <a:defRPr sz="1100">
                    <a:solidFill>
                      <a:schemeClr val="bg2">
                        <a:lumMod val="25000"/>
                      </a:schemeClr>
                    </a:solidFill>
                    <a:latin typeface="Segoe UI" panose="020B0502040204020203" pitchFamily="34" charset="0"/>
                    <a:ea typeface="Segoe UI" panose="020B0502040204020203" pitchFamily="34" charset="0"/>
                    <a:cs typeface="Segoe UI" panose="020B0502040204020203" pitchFamily="34" charset="0"/>
                  </a:defRPr>
                </a:pPr>
                <a:endParaRPr lang="en-US" sz="1100" b="0" i="0" u="none" strike="noStrike" baseline="0">
                  <a:solidFill>
                    <a:schemeClr val="bg2">
                      <a:lumMod val="25000"/>
                    </a:schemeClr>
                  </a:solidFill>
                  <a:latin typeface="Segoe UI" panose="020B0502040204020203" pitchFamily="34" charset="0"/>
                  <a:cs typeface="Segoe UI" panose="020B0502040204020203" pitchFamily="34" charset="0"/>
                </a:endParaRPr>
              </a:p>
            </cx:txPr>
            <cx:visibility seriesName="0" categoryName="0" value="1"/>
            <cx:separator>, </cx:separator>
            <cx:dataLabel idx="0">
              <cx:txPr>
                <a:bodyPr spcFirstLastPara="1" vertOverflow="ellipsis" horzOverflow="overflow" wrap="square" lIns="0" tIns="0" rIns="0" bIns="0" anchor="ctr" anchorCtr="1"/>
                <a:lstStyle/>
                <a:p>
                  <a:pPr algn="ctr" rtl="0">
                    <a:defRPr>
                      <a:solidFill>
                        <a:schemeClr val="bg2"/>
                      </a:solidFill>
                    </a:defRPr>
                  </a:pPr>
                  <a:r>
                    <a:rPr lang="en-US" sz="1100" b="0" i="0" u="none" strike="noStrike" baseline="0">
                      <a:solidFill>
                        <a:schemeClr val="bg2"/>
                      </a:solidFill>
                      <a:latin typeface="Aptos Narrow" panose="02110004020202020204"/>
                    </a:rPr>
                    <a:t>24%</a:t>
                  </a:r>
                </a:p>
              </cx:txPr>
              <cx:visibility seriesName="0" categoryName="0" value="1"/>
              <cx:separator>, </cx:separator>
            </cx:dataLabel>
            <cx:dataLabel idx="2">
              <cx:txPr>
                <a:bodyPr spcFirstLastPara="1" vertOverflow="ellipsis" horzOverflow="overflow" wrap="square" lIns="0" tIns="0" rIns="0" bIns="0" anchor="ctr" anchorCtr="1"/>
                <a:lstStyle/>
                <a:p>
                  <a:pPr algn="ctr" rtl="0">
                    <a:defRPr>
                      <a:solidFill>
                        <a:schemeClr val="bg1"/>
                      </a:solidFill>
                    </a:defRPr>
                  </a:pPr>
                  <a:r>
                    <a:rPr lang="en-US" sz="1100" b="0" i="0" u="none" strike="noStrike" baseline="0">
                      <a:solidFill>
                        <a:schemeClr val="bg1"/>
                      </a:solidFill>
                      <a:latin typeface="Segoe UI" panose="020B0502040204020203" pitchFamily="34" charset="0"/>
                      <a:cs typeface="Segoe UI" panose="020B0502040204020203" pitchFamily="34" charset="0"/>
                    </a:rPr>
                    <a:t>23%</a:t>
                  </a:r>
                </a:p>
              </cx:txPr>
              <cx:visibility seriesName="0" categoryName="0" value="1"/>
              <cx:separator>, </cx:separator>
            </cx:dataLabel>
          </cx:dataLabels>
          <cx:dataId val="0"/>
          <cx:layoutPr>
            <cx:regionLabelLayout val="bestFitOnly"/>
            <cx:geography viewedRegionType="countryRegion" cultureLanguage="en-US" cultureRegion="BR" attribution="Powered by Bing">
              <cx:geoCache provider="{E9337A44-BEBE-4D9F-B70C-5C5E7DAFC167}">
                <cx:binary>nHxZd9tI0uVfqVPPgyogV2Sfr+chAa4SJWtx2dYLjssL9n3Hr58Ld58eEeIQoy6XbcokEIg94kYk
/+fb8I9vyY+v1W9DmmT1P74N//w9aJriH3/+WX8LfqRf6z/S8FuV1/nP5o9vefpn/vNn+O3Hn9+r
r32Y+X8S02J/fgu+Vs2P4ff//T+4m/8jd782XzdZEzbjQ/ujGh9/1G3S1Fff/X+8+duPX7d5Hosf
//z9W95mzXw7P8yz3//91uH7P3+n5Pff/nx9h3+/d/c1xWW6+jqFyfLzP77WzT9/N4j9h82kYLYg
pjA5E+r33/ofv96S9A9lU5MwrqQlpJrfyvKqCf75O/+DCMWlsm1JlWlRIX//rc7b+S2D0j8ktyzL
NKVQJiNK/kcuH/Jk9PPsP5L498+/ZW36IQ+zpsadf/+t+NenZsa4sBQIECYoNwnhjIDT4tvXR4ge
H7b+FzX8LCJ+NeqSNwl1Juiu2rVtxvKjP/Go2b6SzP8XOUZtJWzwTKgFuufkvCIaZFLRQZtxVXov
QxJbU6IzLzTYkyEaUQb6OkH2hj/GTSZtiJiDKpn5f8WfGWZxNSbloEvDzB4bScVzGYpod52KxaGQ
13KUBPqVlDMwZQpOiHlOJ21sGqWB9bC9Pzzfb52f+0Oot7utu3f3p+3h3nWfTqctftxsHPyhj/uT
M//o3m+f3efD48n9nOuD3unPN39vcYPtQd/v9O75Q6dxwUZvHw+7jfO0OTrOptCbu6+RPj7tnaPr
Eu0+uNvTi9IfN3cuiLh6724eHK2PJ9d1neuMcrrCp3XOZ5wbA7VC68E97U/689bddhrP/WW31Y96
q/X8tHvHdW8c92aLh9jcuO7KEyws9o2kFxY7wVgzDknfbF/u/Y0+7PRhew95bben7SP+gxTxSm82
G187x/3x575wev3T3e/3P3v98HRz/Xms2WRfedCb55kl9srCmNl1XoTncT+7z9sdBLDZr7C8SmI2
8lckmrpKSDMbl/vw+e97X9/rzZc7x9QrdKiFiHOVl4W3THLsx34m9Hl72J5gYKfD9hkv3HvXuTkc
TlDuiz6cDvjtQvewyU2p8XILc96f3P32RW/dz7D77Yt7uL+HPUAv94++1p+gpS3MXW8Pm6PW28/6
0TnqX8wcdof7w+OPg69/PM43/fv5/iXUz5P+29cHcHt4fLx/xI8/fkDbW+3snbuno/OEvx/2T5un
/U9n/7TfP+nnx8Nh0NrXu7vN/tPt3d2nu+N+8/Fw3H9/enA2O+fBcU/OZvPk6q+3G2e/f7hxn477
vd4cj7fOk3vcw6pdGOwvCwbnP2HJJ9cBxb0D9g7329ONs9/cOXv31wf/esI/wwlx7c3D58/wcef7
inHN7nTNuJbx0mrKaIJCTu7L8wGm5TxdJ0DXrHeOa69My/a93JDR7M/bG/yGH+1O7mGORBvtuEfX
cfC/s2JoSGArfNnnZGtSSK9DGDnBjW8QN2bnnX/h7/uX7QmGcoKNvZy2L6f7UiO+nV5eYIn6dnfQ
j4fH3WG32212u1sNVUMBN4irmy+3t7AJrW+1c7ffH2GrUOTedR5uoEK93xwfnJsbcAOVXxeipdb8
Zn7/lRTjTsouhxQhQpjP6R7xCFF/FqKD2F1qBHT9N0KSBiMI0QeNDyJabR8hZXjaHDjx6hEXHPSd
xlt4NV97OOzu8Pf+CTy6R+cBXuYi2J22zsyf69whiRyQUvCR4xG5YY6629ln77czo4HeQ5K4BnLc
upDUzWz27v7z6X4Wzr2La66Lgs557orB/nr/lSTqsi4COUcQqPQzPBe8OrdIWvCUGziX46yEXzLH
vmsEFwkpjaqamRD9aXv/MgcrRH7n6yyepxWjZeYaqUXmEcKyDAu83SAS3EMRs93ezFkd9jkrBrEC
kQEBA6EQkeMGvCNeQZ34EZka7+0RZE7u5oiX+PT2gMJgj3dh73iN0ObAFlwkEdwSt58/ss1x/eEZ
ZQWcEsH0l6HMFA9b5wUfwSPo2cbmj+OHjZ7j4x508Vnc8cPuHrdHTMOtEJsPh81shafTZxf+dXjW
iCm4Bs4zawgWhYfD9bjffDPndjZYcIInQmxFqoWv/bU5zh/dHA8Q9N2v6ACu97sczMP59Hazh75n
+59tG8+2w5WPzlfcFVHUOd49IVbPYoKg5qvhCClSCCKbg3++bo3nChPUtpmyiSWFIEJKFLjnbtlN
k/LNNqu1TYzOHZuicyRlzeY6lfNY9m8qFOUfs2xFUMmfU8m9uvBsmtbayyK18VqD6yobkhd/mEo3
jJVxd53eW664ierftNEa2cymC4tPrElyNdiVbivFtqHdD9sg6ax3Fc4zV9ykXEppW+hdGJuf4pUj
W60dRpXpVTpiAflkhmV6aIphWtHQW9mBiuJcoitAeW7O77+iUpWJGTRSVXqIWSCdQA15q+OK81bn
asxrbZV98HxdfucF5C/OLJNzYpv23EixhfxURssi7cZK52VGjqZRcrer4+hktrZYYe8CKbR+zLIU
p5JwuegKSJGaedrGIJV0hW7FkO/q1ua6jtLkeJ2rC5IUTDFGJOO2hLmfS5IXIrONLK10F9bRoQ0j
sRfo325ZTtV9X+VyJenN+v+/cfeXFM/oLTL42ORTLjrQqzJrKvap5RXGJupEuELnEl9cCluZ6JVh
kwsLUWUl7DoaS+2PJHbbriJ3gRCew5k9umKw2UoGu8QXt6kUBKbPKVmk8i7xR97mpNQqb1OXq4hs
GubFKzHjkmG8orJMk15qT2OYc1BJyqBzPG6GoxsTY3yhfleuiPASMWEyKuHI1mz456ZhGZzHxmCW
eqzMxG1IIu7qaCJapX614lvnbfC/rOI1qaX0JllUtQXp8Sm/DwLp7+x4LP8abSu+HZLMeqns9vN1
w7+ksFckl6LsWGgMfWyV2grM1GGVx7dh3fjuf0HFYsIW6PGB48wyfhWoalUE1WQElS5C1X6I8yJy
DDuj9/8FFcIU/FgwLuTC2D3usTJQstR5nYaaDrnYhl0udtepXHIpYVMGQMpSUlmLqFQpGVZhKUpt
VIoKx1ZJfExE6v1Mizp4VghVzX9jgTZgH5TOVBB7EZwiI0iqUNBSN8DKdknXfuGM/U1KIlf86pIx
SNPkNrfniGEvTF2FKdrxDgHXyppEPNhdIek2GoamPl2X4WVCzCRzdrQtuuBIcDPwew4HDjxDOn1a
2y5LrGYlCVvn/d/sTygqFZK8EkJyMHRudoFhh23Cs0qXtKK6zmjv8CmINkVR+Lusz6kuBN95Xhzv
KG96Q5dd1urJZMFKWLTom3gv0MahzCHU5txaBpGh9u3AGvJKB2EQH82EdNuyLOhz3lUnXxjDsaqL
fFPFuaUpbVNnGOPAgWgaq1GHdjTKlSrobaRRyKuzFQPaAwgzP+8rh8xy4sW1bEod+0o85vZYboRf
JW5HGHHNNon+bsJq2r5X6yBKbOR0W1HCzIXnjIQOaWshGQ00t50qj2Jnom22IuuLrL2isihQxq5Q
k18iXgOK6dzWT4jTl56xS5mvR/Ulj/ry3dENfEG3KCeFRGG5CNvATRnzjaHUqdHmmkueOoYa1lLr
bKznJQOoMEUEA8xKAMeeq6wfQd7oQKUw7Z7q3lep0KTpfer2pk8KnVZB+NIXXvRQt006rDjTJbHC
eAVKZ47ItwxCovWHssxZqZM0q26iPs8PRdBOp6g1qhtUZcwx48haCUhrRBcOnFXTMI0KCRG1tujd
rrSNG+KZvmPbaX0i3agaN58GL1xh9m2MV0j4RJgUVbywl3j0UNhpmVQZ3CO0+OfGaId2Q1QX7fpM
mYUOMqP5dN033lYZah5LUIo+yERBv8iQLfX7jNd+qTuvzlxRlpVL06jTRja8v/ZEPY1aZp5amKhC
Z6G/8v2YTVPcC1bosW+TjRlP7XZo+PsrasWZJS0MSCA/qpaqG+s8Z2QstCGLfkdjluo4kg9mGXOd
VOZKaLngHFKiQ5iVxjCuWPDEmixMgmAqdNKZ9TGwjXSXZ6l5zFNubwopuuehN4xYpwBo+xVjuWCk
ypxHSbBBKbhcBBwZD/YUN0jPk9Gop6Tk5N4ySesUhJeHvBJTpIvA4yuuccFgFDHRxKLUhibpQr7o
F0RDrR61ouW1uqAq0YUVBTo0O+P9EVX96mMtLgRKnoVw7aIea+YXqHiCvLsRbdkeUtrwY4hotW88
2QQ6Ket2RawXVAr4AZgAEviMRCyoVkFJJoxC4futIL5OwtB2+zCvjzyn7d3A8khntqqdMuzW3P9N
efJrqMcosRixqCUWoZZ7fVaUJRzdj+xCEzOjW+Ak3XuLoJkKOPtls5SyhQZ7n4h6EAjc6PuaxhF+
Z6SuR6ppfK+pgBCqHzXXdKiHyMJA06m2qqGBc4QZWj/LauNHVVu1S6Igfrgexi5JDsEFdagtLZRf
izAWs5CFvGgKHatsKHTZGtNLZ5BErpjkG+ufWWKz0GygA6jyzmNYOEWF3ZttAeuPR7cuRnZjJm16
KIe2Xgktl0hJ+JlJhYUZ9LKlbXovy/M0BanSrzWgD8MtpvFLkJvj/v3CQ2UEV7O4qf4F+78KzGVq
B+FAikJXzAw3lYFaNOiDcsUaLqhozjLIyBCeKeTCuGtfBqoMQ4RKPmGSLOpAl3lqryjoEhV0YcD0
bFPaZFnwwlst20+8XPfxqBzM642/u1Zl/kqQuEhGgRckm3kaT87tIMvH0pvGqNBKdH/ZMqObjHjF
+y2AIgD9hwg9JyJJWgaGHxeala23beKmdmLaRQ6x1Aoe/6buUKg30FaiR0BsJ/aCHasZyjS3jFxb
Ijdvy2gon1La5wflczbpvB+G3XWTs+Y7nlWVM0WLEEUZszg6snPepjKJkr4EReYr8FZagTtkWex4
qiOJDrgX7LOh8zdjyNUuM0vy0xiNY82zYhvQPn68/jiX1AlFCk4tiTb+19O+8gA/S9LW9mA1UnWT
axRGtAFO8OP9RCQHKiuBISmI+5xlUfZTWBc810NYkdAZ+0g0bm2qQqz4wCVtSoVJCHAwgdy5yGAe
izOTjrCbLMoGJwqo0GZvbC3e7bPGGFeoXZKdjSkKMiUTkqhFd9UOtRjSLi+0bLh3E3djeSgQQd33
C8+edYM6i5hquREiE1nR0Uc0jOq0us3bIN0MnIYrcOwFXiA2tFOIhlDUMnrEWW7EKgzmElUGd0mv
mGOFPHgvXoQFIBPogImMhX0ge9G32VNnNMZs+3FI01M6DsQtvMxeibdvUYiZjCRoUTBLAYCzsLdU
TDk3U5nrqPXCW2O06dYqk2Pec6WF2d3ZPX8sDNPblIH0boB3H4UqipXcMtvaws/h3xbFmACwvf1r
EPjKs6bSbFXjJ4WeREesTTMEdfaBDdzsbnnb99QZepWEh6pTZK1xveAGaASwjEWoALhuL/g38oCb
bapyPaYRjZ3AFKPbF+EtZT5z2trDn++2USQeAsCbUsAbdKHXlsghnUxEERYEoe5rWm1lOq15wtu6
wIJKEaNhQegRl2xZCTriSkKtIgh9J7FlfhizSR6Yp4IVE3orQZDCqIoS9DgAAReVooU0blYcEsxj
HhrumCelrU1sNnxUNeXfgz7tvRU/n2V0bi+oPwhDKccQvt5stgVxyQe/pLkustRwmSr5X2XbT3+X
rUxcy8rI3wBEhpsioPk+rUj9cl2Fb80VoCC6JAHYXVl8yXGalabf9UBTzKTy3UTI70klX3gGyKNU
WapbtlZRvg05M0VYC5pvwLt8YaV1H0YhscpcZwZBv1q27R6ukq1octbUQqwMFT8yHOwTuWdRSpCo
wRZc3uS6ioxqcuwsDD+X05gytyo89qGMuynUsR00mZZJUq/liAs2ixkQSlnUfxgHLXNENRUyzrBs
oY3EK7fcj8fGUZ4VPOd1RaMVN7wQ+LDpNwMMwmJwEblglhIjZn1jwvFF/QHYVvxseSp2O1Yllsvq
gD/FNEU7Pnh93WyJ53lSG3VdfgwqlhX6ukVdkDzmsRZAMpTWAB8XPkSSuqmmskewLwO4a9c2f/cC
tXxmDkonoxefavsvq/SDd6cyCAFj9Bk0g/tas0peBV4zVQkvixkXHFmSO43v0WmnOiusV8R9Sbdo
uhgaB4p2b9mlp1kWeVg9zbVft97Hboyo3IyW8m6akLVypW68REwBsbIF8J0ZSDrnqkHACIwmzvXE
hHksrLy96zNpuJ3I++frirsQ/ARIKIwlYEJCze+/EqDlMT7KDHzJSHrfo8YaP9qN7HZxliT7CPtd
n67Tu8AagHqsHWMMgin3sqVImBGm7ZgjrufSdo0ALXNV+Zio45r3q8zGyBnV/i/gWC6K71CkhV83
Ua7VyCpfs6FtPcz+MnqwSAYY8DpjF2KqjZqKzVEOKxBLnCoaMpH4rZFpK00jx8uDOtJGiemf49k1
+d6MVWfuSuSalabmEl0gjSbQTRRAb4JO2/RWQqgE3T4DSjS0IbsjI6aNVRYGH/uc5bd2Fxgrxd0F
NWJBASWARPGFqf6iCOhkx9LG8BHqGiAEXgYvL+Iyd6SsxUpouWCh2BnA4oAFuNgEnnNuoRPtW9n1
aa69epqcpJ3IbhSdvW8rL3L7zDduryvyEms2UfMgxeRzKX5Or+ylXw62yjDnZOJAjIm4qc/zx8kO
kxULvZAVbVRRFOUx9unpMnoxUZLGH71Mm36Y3LEqmtyI8WB7naGLVGbQm3BM6tDEnDNkpkWcCo5o
UkZJuSk9074JjKBfwdsuik2gzrcBFHMs0J9TqQPM38RYgErCB+lgEz0Z9yzCcM0duW2Wu+tMXbIK
VIVzH4OiAuOEc3KmOYmqDRG3jKZ56prpIc3LXgvUU1qWUbmiqEvU5pGtwvI8m4eM59SKrI4ELeDc
1Vj6xyys6LaOfXkwh6G4mfqpXeHugsoQkcUcl+VMc6GyWJKiH3AoQPddUWBmGpikc/3c8taqiAta
A4kZFAMODGEuxDgUzAqaEH48dJ1M3RQLBK6MczvUYehVT+/WGYQI3AFGqFB3LkzEG6wha3w700IF
PHMxPS2/ZRXjnvYMgMWYLrDg/dERGRtrBDjJggC5hLmn3E6HYCAZUODQc2LDdxnBPKtuubFhXjXo
YbD6lUxwSaYWatAZgEY7IRexMWgio0gNhhqzTo4Eo+BNklJfx4ysgfgrlOxFnSAKrIVhBSnTRduE
3SE141C4A1Vk3EwkE2uo42wMi/JaSQQre65NCODhcy9Im8pOgtrKdDNMzW4aufFhEp5yS16XG2NQ
41GWoffputFcJCrmsAJ3YFDlOdEqVb0V2jTTdQ8hhtgH+ZiO4mMgsmpripJu+zpgKzQvtGdoA1FV
44QXasqlBmt7yuuIVplGp2RpP8iOqhiST6MXRDgmRtMXnpqVyw2zOpB+SFeCzdtaep488bkbnQ9e
LZ3fZLkcaBJmupWD9dCSbNRJUPlfDa9sT5NteJvaK+uTUdQrme9t1AFhtKOcz0sEALnORZ01TIUN
8EntEWwPhY3lbyIakYfrCn0bS9F1SuCQ2GGbofJFfu1k1oYhCQDYeG3w4k9BF7gNzuBl20iy8mVM
OPl+neJbgc597jzax+kn7HMu7DZoUiMwK1QQaROmve6k1T6PciwSXWGkgo0s5TvMN+ctyJ6Grft+
6nMVj4DHJMCqhQF3Rm6GFkMZahZFkLjSKFSre54HvaP6JLQwN/Km3i0Gs4j3AIutH9fpvw0SFDkE
B/UwkkDrwui5VgWmESiTESTIENMDfn+NC9bvSGDb23dTQnUBZAgeM5vwghJ6B6KmBFky85TM3GFE
NYeytG74RnR8DFYE+9ZLKezIRlxHnQbW5sjxqnWpIyOOsDyFdEKS8jsSiBv3UexasQcErsnynZ+O
5Zeil8UuGin76zqzs9GcB0NQB5SOtU8U+9YSTG9aIeK2BnWsj0U3ViFMzaOMvNslZyo2ZvyY9KAW
XTgLPMTGlnaPCrE31DEa2V1nD8bhv2DFJrPXY7UUEORCkFj4M7AxBkH2U/EBS+neiEG32a3taV3w
fIDb2LAjmHLbENs5HYW6Me2zNtO+ybirShx1VFbqH7D0NxxtuzHeXZJiR81E1oeCFEVPdk6v9smY
l7OKDCOim6SzkzsO3GuT+gP7cF2El2wR89h5qATA8s2CSRqFJvqtETlf9vXBjErmAExIXTL2yaGo
K/NYYqb/wKuo+IIzKMWKK1yIcCjj0K8Az8f20tLHeRJ32PpA8e0NvkF0CUTxA7MTCRxzkNUzIQbv
NGdh+cxCf6xWmJ/luHAFZeEI6zwytoFILOwnN6YCz5Rgrjbl5hcoIxQ6I3BGpw38pMYaYhw/YoWL
/xcBB4SxwwAlY8i2HAE1YViXfocmYLTK2jHwhIfOnoLPlmzjldp14e7gSgmsFkoU44jhaplDLL8o
vImOoauqwN8mWUC2qAvE5roZLUG9f5MBdggU0bbkcskWB8JTM6Q0dCPMKBqVtO5Um2RjtwzbvSZr
Hm07bnZi7D8G5jhuS0w7H7y2WTPnhT29eYyF57DC7BvA1qEbVlWqBy5x7roph53gE3cjb/QdUWNH
l2M1bkUCl+Qs4K5YpZBIl8tNLTFROfK0C91WqXDT0MR2yVDn78tUv/h7TWWOVK9SR5WHeRjJNnRt
32+PvBTjxvTbbpuH3dogYxH0fpFSMyhsA5BGLzKn51ekRqsmWAL358Fv3k7bJIzNvzIvSqr7ipIc
zopVi3GN6AUpSiS8OSJh4Q2LwOdE6cjKiufKd3sv8E/NYDRuptga3n2BtbkdADiDOSIy/sJKCp5S
j/UE5VvTS/Y3YNcg2zU0lWRv5XU23RRjLddc5A1r8HSYHjYGsPBO+K/zyK/kWXWNZIaXMYeXjb83
K290BDZQV2rwN6zNIDZSIQaYAmOuZSncJiHOj+TEcvxw9DtnpEl+H5WD2lhjgPkFmfyVGLqo0rBe
AZZQSgDnAk8YmZ5rLJhYQjyjIM4Ys04n/WS7QBAjx5L9O/vTmRQHkA0cGy0cWuKFcRQ41lTFRFmO
h9J745XZhJ6x4W6M8ywrYrzAFecgghEFlhQxYTvnSkW56cVRSh3LzAPrQ2UkbXtvASa1U41VmbpZ
GWwt0vAv1pABsamCTToOBOWcXhSL0hraHlKszfwm8LJiZ3hT6hBD+o9Nh8G617eRE6UDve0p71eU
eMFqOFYU0apibxCd1IJdYiiFwjMgDkzT3hlTQzQTFdBg06BIyrm50kq99QUK0BdqhPFgBLREbwp/
iL3IY55Dkpjt4yTrNmUYNCtKfMvVOZU5WbzyuBjf0mGUMfUcjNGl49sid5LBQrYP1EPXUa6v58BL
5ACJzsvQOFnw5lgBzwBYhrbw3VAWZhZtC1aNYeAEPKFJqxsbU00KN+TW2iLmJWliMonGBfW2gArP
+ew7bOznArcdyeA92RZmZ6Ql7H0TK5gooiWCMgInmkIpzHMqST4mgbBN5ozg54sy88zF7KBYwb3e
8gLgwBTAvdA/wEQWVKIpaT1/UJGbZkPmjoHBnb5Ixt11VV2kMiMzGEQCwl7WX3VO+6Cwjci1J3Sw
seDBLjTrNYN4G0SQXLC2RHAwEqsAfJFBAZB7Iy3tyKXRGGkrD+xt2FvRfvAwIr/O0KKShXLmr7aZ
jc/EUiIwg3PlVPl8tjUMY7fEKa1vU9ymz5z75baM+ODWdm4cfUCXKwZ/SYrYP6CYoigLm50Lu6sm
CNgvIUXfG8dbLGmprR+ytR3uS1IU1MJ8fG4QcFTmnDUMSkvWtRiZqKmsPk2exQ+5zY1D0mfeuxnC
oB+Fz3yWQSkgH+ekzKkMx6K1Y7fop3yn6uRnRcXarP+t1PDFREgr8zfa4Pt6lmeAPTHmOEnkhS61
umlviEm6benlKxH2rUGcU1nYXk2tuGE4sOoWTI4f23ya3KbIhtsegNLJDIrklE1GtTbyeqsr+Cwg
K6Roierj11c6vIq4uTTTzGqCCGeFJq/d5X1Rk+0UVXG6L1PSNCv9/yUm/0MOEl0ECz6MYVwaaDqE
GQePeUW4TllBbqwg8lId9h7ds6Dxvl73tUsKRKpE00oIevPl2chhqgvDGAa0OkIMrmhJfBs35hpI
dJEK8GoM7rFpTpannHnUogTyeOhK0nVbWuQx1sOsNcj2kgRBBKrCbqAEM+cWP/ERUdDnkTuUVeZS
/LHx43J6yHiYuFE1g0MNhz6vS/ACVcBsal7/QKGK6f051aBhzOhkj/ArUWk0jYUhkTRye4/1hWbb
YYn7tpN1nW6uk71gnQjF2HIB1bnBmEX+yjobg1PTKjvEKxSXW55F08EL24zrHN3z2in1t9UALkI1
hQPqM37KFrapMnOUyi8jt24aP3c6LBZQZz4nJpxQqDrYxywP05UAdkmwQMGBus3oAvqMcw5zT3pB
OLLQTQcz8rBgWrTh5Mip7q1Kx4MclNPYQdfv/LbENu+7xSuwc48NohlQwRGJc+IMBX9dtzjfnWH0
6QBJ8p5F39D9RPPu23VSF5wDYyrEGAJ6WB1cGBD6bBYYZD5KjuOJOooMyzXqId5ep3LBXkAFqRWw
BkbQb9KBVfhY32tSF/vO/cZAZNsaBTaBKgsI0TtJQWNIopj1AacBgLJIcgM6RgwUo9zFofLyIQHU
7pp11e+C0RKfrpN6YyNwOdSoGJdgn3zevDxXE76fYWytIipxpsSIvUM4jW1au7lXmcpFydDbgcP6
ooxfUKPFZMVAMTGdQ8or0G0+gz1vRqI0nxc/MNw4p48xdYzTnnG5GTmidqWNiSYk+dAlU+3HjkhZ
nU5ahOmUKD3aVR0l2rRTU8SOhUmdV25UaFqp9TSldAy+hjFWL9ihT+zC+CuQmSyaT94YR1m0l0ZX
G9+zNDI82zFC0zMiHcZdFkcbs/dNjzrBmHWl6TYdprvRrlFRRZ+7oVBG7ogg6OfPB1NJv5QySJuf
VmMW/aeJTILeVams0u9lzJrWIe0YWpvIyMMy0pHVROmxLaLwaMpIRJiFRd34eQiyBvNwdLBmLLfM
GL3WGa2465XGQM1GSk7mb2KIaJDYfwE8IuwGB39q87uqcZzqY4wLaaRznLSyMie0O+Jv6gxKTtxC
eam6CXC8LHF4FBv9kznGHBhX3kSe56aYicdONDaq+jgwWkX3Vc4Nuk+U8mrugpecfymTsaWTy7nC
MH1fhD0OkW8wu6ApMAp8EUtp7qugNvpdk2KzSosEDyBdHEQJQ+mkqlSpHsfCM9088Oj4CLjIyr4n
RSZIuGvwxYCfyhqNe+cmVV4Yd1iPzb27JlQTdptbqw7RInU1HlVgkeSz1fomDiDTKcump0IUWGFV
Pr6WYjPUZtk4reRJ9FDPXzuTugY1WvWJe6OsX4q2SoLWQdjP2qc6j4Cx6i4DXBWgifaUtQ8oaYZH
EQ5NjPbFn9oS48nINFikE1K10yeBb1H0P4bc7kpji28N6LvkkLRdGzzIoC26TuOEjM0e+l7mSa+b
xO9HwBxobsdchyO+huRTJRkz0fFlhWr+mkbae4MOOz4ZD3ZN/eQbQxYnvpMahv1/OLqO7jp1NfqL
tBZFtClwznGNSxzHzkTLznUQqCCa2q9/2292B9exAfGV3Ri2Prp1ymoQ/Elx/JxLnhRfWYx0EMCg
t4UnHR9sNfHvx72mWxeOBTmX/dDMbsCvhymieQGiqSBRP0xZx0sYCq3f90ylQrQTzq1DZ5NH5f6A
ILUZOvlBRXxcjhqqxwvZmrDlbTbptRi6ceIZN7cTKzcYE0gIafJW0xA3WNOpj6vthoks4d3wJqY3
LjM0/qJ6PYafecN2/YI0Ti/7omHEdSg/sWrrZGe6t/MYknuFRDTY7QG3x1dJoA+BPfcoD8ScuKW6
m/m8rK+Y5cbsPNcckHwHYd3Gk35jczqQqyXIoxhavdAQ3jVVeDfPKgkoPW0lkggRiJ6IXpPbfM2U
abrIELvpLhrLYyW7hNeM1G3MBND+24PAD9p0qVVH/K/gBDxVz/gGnQ8WtJDM9AwRkK7ndktJDGk7
JVG7d2goMSa1cJAzfZdlA4EOFUk+EB63Ya4H8VEsqzdjVw1JTJ5LbhBdAF9OYM3Uxh0imKNFTS2O
vwqbIOctyYZmPTodhN22myrFirP/EHNSyPV63SU3x2X18P1uncUWUpW9yUtW3Ol8KtWBdKKRa369
T4CEoIJOGxjrcqTUFF1GCTGiGw9Xm+w65goV6xeTRTiOZy3yRTQoG03l0l8rmzG1YCpHXMv0zTqS
6h5mQO9va8iCtuxkhkhd6xo0i9O2BUgi+4a4aX1U0xKWqwWxHSOWWrXPYmqbInPNf7XKwGqc9ymU
/3ZUkeo2TcSW/KnGbJtfVAX3PXR9kCNBWgg76vxflqMMt5nFhNA5P1p7m5TIsHsJWMaP12SfV3mR
ciiz261G4lSHipV8VrtChNF4BHO9sigvrmApIhrcMqRtObjhvmQZf2jgLThnshEPYM4M+rWqmq14
qcdCiROwrdUDwDZ85g+lsQ4WYJMvlLxl+RbMX1zTmL/t5bRBn3sQ0lzwZ4FUSLk4QgelgcwvEFQn
8nYLmhV96TCtd2KCJf0tP7KaJC1RajF3pBCNfM7EKJe7dJoL9rjQ0Yc7lDjzFikw2ddBNwv7W8Wx
Vk8o33X1tC9JbN6g9lnm8zaTsep5amy4YDgOe2u9hiz0tBDFvmb4NddHCFNHdfbD6JtPHNkZZ46l
ELQ8rWWm9X8No1MJ2+CK+3Cao13zr5FazIctwcaEU40zkvgnAdeH/q3kJKafOsQl3nAy0U1Afsqk
eGVDvSf6irqt3KpzUqyDT688Fjzmu+jqaf1n6+CSLyvool3L95QepNt2QrPPbPX+yGGP176MPTwY
dpMdso6GwbdNw8cCboyZf+tOV54vfuvKoBf9VR0qSWQ718v2ba4fsr35WOiUmNdqpGpEH5px0HkL
7Vcss07MIS+gPUkPtWvUztqvl7q2EgbzJm2W+5EUyEeAFOagbT17lHCIC7bjXUH5ubZwSY0HqmEq
0k5A6QEVZTqTvS38PEI4BIESrV/9AGr0lTmi/hu0mWpAo9KKrjhM+poS4DJdjrOYd9UyrOrvdsT6
GRKuQ/eNSrh/KrXzVwPeL3YneM51h+qzvNUpqN12y6143yDbeZZhnv4rx2JXV2b2+ZNxrnyCrXTY
/98J3ocatl2YDLfyRruFHz8xHNTo/bxo1GWJCLK4IKeF7aekYtR3+dysxRXIOAhXIOhVr3Na4WGF
SK7XNSRpDyCWJy03iDPoILVD1kCxSDmdp7Jgd1ingmqNkvFjJGjZ12bPFnoyfHMQWe+7Oq1LKs5l
HVJ6pokeLth2EDJh4G9LIFtjC++N0nPSWcjC+xUEyXFx6GjvOdSWslsYekxXCIuHMgaJACAL3ere
hdUd4nobbRVaautdnjCGNAOCgryz/Rgw7d8ghU4GDP+6uhJq3T0CY1yd9glBG2rT71/VIXNKQNWR
Hox2azqXpM995lPI6Ab+jHKX/d7yWds2C832i07V8KsYPPvH4T9/SlekZeCOEJKc+ThD7JNUa4L3
YZ4a1zb1hvkUeTimvDNMefE0z1Fvl4xuk7n2M1w45yPfM/9LwK++9HSpyNhOxeawiM04muXWKHpi
oU7mbsLPPHw/B8DuQcy22xnLsg5jyVz1NGL8gPIwKDSRqVK2LfWRfTSuULdDjpiLHtrlEdeQ+D2/
jCQu8KbHcfoz49GM3egkOefjJgv8tXo8A6o0GsI+JbIO+406T1TiPwH5YuweRK15m0/p8LqKaWJX
dGAuaysMJxBZTHUzd00qzYOQZc3PVTYhuqbZjnI/5/OWgLRvomjaOW5z6LiFdrclRcopXn2VFKd4
KPPsqk0VP5UYprRzJZn2VvnKbK3gi/f3RTUYGKmHHMomPbgq7Wc8T/NjiUl2NQ+TAviXS8/wQ4Ri
oKyONLY5vD+23asdxWyLI5VnrSx5yCCemj/TWYSW1KiZ7VL6Y+j5sOCfzUXViJPFwCuvy2osBmjB
dXXbSGi5LrVEDce03mjxJWLu3VeJXJw3JQ36ycTHMe/11jTreY9DgmtJN91hWqII3XYQdNwwvxav
WRG2+kYzYDsdz+3wHKtBJ62Btv7WW4Z50jqHuc5G02R9OdPBd0jmaRCsyP34GJYs+7PRht+Ncla0
3ZN82FEMm2nsNLMojC6m9NeaJeEPmQVrWoLUrvQ5O3YEHxQQMag3sS4W6JjY9kP/wGsZIuIUPTpf
ycaEPHKMsi/xINT0yZyNt3NaHE03I9s7tpuYxdAPA6/zKzyqwp7jwd2Go6qbZwtDyXRiftxZO2AZ
51ejI0t5FhDjiNbCqFSd2c4APUfCFG/57NM36si35Al+zekMPHI7Nbm1pmOes0vMbILsmmIY1IVg
hDa/+ZQ7MMyVGLttOFC7QKNUQrUOJkh1tcLR+ggILpM9yCqbXi/VnsIDRrCm4P0qR2IvCEb005Wm
9WpuMatgURN4LNMVVn78O8l0FFu/eQqzOywq/DdodfWVpXH4j5vZ/YdsF/7hBiHvdAH13TnHTv4Y
p0O8aEak7xMcqLcj18l2SUSuX1ZBEtRMlcb8XPlSYihIWEP6AgNFfilTn4rrXKrthY2Yt2OH7V7t
Xdx1/rzCRRdO8BiZnrOpRC8g6FodhLpIp2KS1iOGQY2d1Mq8fMzDhIiLCLtSc4YKP1nPpFor/2vS
TS2udyowDu82qU5RWvShdht1vp8MYunGtiSEv08DbOstLH6JepmO4LbeqoXlF5Ti+b4CMw4Tbx5L
GGuOpmxpnJAEALlE8y9ZM/8v2Unzb6MFllk7sSV0R3IUYGTrDf0MEjo5tjRV2YkV2MihbPmOhPSp
Wj6cc/CyDDxXot2amP8Fx4S1Z29SgRGZrL9qVs2fSgeS3+Twn1/SpKzHDhjXuiDRA7DzGd4UYbqp
YFCXcL6kr3ZmFq/LHIc/pTbuRxkp+2j2QJ6OPDueGtI4cTGYeGzLAGPCA61AcJ3GaVrOjqptPDWp
r1nLjzHcu0X65Cyp858VQkdFW5Cw/51ypCAgL0bnZc98Vl1kstoEMM0QP7aEWpjhTa39lRVb/ukc
LFVw7YT5w6B4xFN11NN9NmXJP4BV7ocl1uAoLVv5YQc5vfACGRgwLcrt5igHjEgFiBvbBuiz7ZWE
zDb0ixvVP78k5FNvfspQ30L4Oc47wl22OUr+MI0LBUerrP5K5baGzoVGiFMgVAIc8PK4JcqbFQtC
WP4NJWV/Qm6GpwMt/LGUfH/newFS2+Ku/a2Wfb31akkx62s88xZJLj7tpCCYA6Xk38ZcugE4TGiQ
HjwqP340KzbvdvJix1YV+PeaUBfjY5opr88mGYsIkRPiis52C/Zop2Usqgto0vS93IFTtDDdkwe6
FnjdMxgrq36asbb3Hsb1taWVr4CpQLZQg9kioTm53MOkIbyfbyIIZnp2GXb5U7bs3xwr3fdLNeFe
t82u9rKbj+wY2mOrcMiYpfSBLTV/BfYpX1x2APrB4ndsbW6aJWkZMhbKVpW1fxZyKL7s3Mh7t43b
cOM5yempqTHEnFev6r0Txze5krB0uE6XSu5n75vmBT19HntbjPp2god7v15nWf6ZbU7u/URicU5r
zn8PGFiPm2pYm2fesODhbhRwEWy5L1gX+LKc6tRX4mpJqZ66gRr6X73kHqoizeQtjWt8pe4we7cW
W6k7lgXi2oAnc1EgV93ZWh7fwKIGf4dqUahzAyDvpGi9u24pjMU4awYsdwwXj7sTmvB2gNJ5KUQ+
/BQrrLztuANQageCGaDPREj+yXFStzD0fZdwAFblebWjqTr4ZPbHag8W8bxIb8ANiK7sIiQOD8hw
y33HTSx1a2tSLieQg6roiKTJdWEdLrOBzQGRj8pVVYv3mf4Fm8h+JYZuvykE8380XcLtII/JdzuX
ze/a2fk/gH/ycT2M+pyKmF/PuMy1AyWP9deDlkIeBlT9RZ+6hl3nepM1fu8RcKII292JJbnN2pSy
BXcWNWPoRFZszxJBIVj2M0gwUD2r5dFiS3UtonqnFGogUvyxYSvuq3JaP6CEor/zilDeblTun2Ib
K9F6Cciz29RcIuatmGTWrsdWf7DBYUg+eDPcxWLxaxtwE+/ZIZIR5il/3JljwJCSpEfaB1bJGcat
hZRtwN7xTgo+vtdjSfF3ZwamD6hE5gs1ExNtsKvHCgTjKJb/OM7LhSni7ln9/e2PErTv3i48q4Zu
43N9nDA1Bd3RLU5vEOKzx+wonW0V9qPYqeF7agPLOl/pEtGDrTVlNXdDDkv+Tb2G9SOzgb6UsaGo
3STqp1nv9e9iyNNw3YhBvBi4Ff/uEFHfIyBiDuexHBvfzsi5eEs8sNM2QweGvX9c0mdpNVoA40jI
RIktqyevk+r3kRusctAJ01duLVqHmwN8PeUqvLzZkym/lRuWZMy++Xz0uU7J21h/J8piZ2BYSGuK
SKgNU8udivhmS2uoXGyLV7z8JMTJ4cQXJ69gCtBoU4MQDzrHPgEcCPz1RS5sulsjohAujDTpdb2J
6mtQVN9AoY4pRlqMGOle+xeAydXSQ2jMXOdrUvO+Lgwk8hKAGMIq4Yy/H8Fu/XVyb8rzvs/ZuSgt
Jnq9T3HssnXd3pPFNY8l1IJQ02uEjrSiUHLtGsQ83oLMnIsWhOn4c1BiN53ZdSah9LeYvWrET+Xt
ng/q59GQynXKmTx2O039Ha2H0KAV7uNzjWDfqlVmH6tzXh/pGc/YRExuMDOrbCPvUE7B0A5be7b1
hSy2Own/m7sSoKVeKuJWfoMv7qA5cozVvEUtIlcNT7y9JIOpqn4tavjQiwFFhgIsu2GpjA/bLpfm
FD0Xt0GHtcACVoS8bUjYHkZXoqvpagCbKY9VX40VyKFTFAV/K5iJH0vjk6XHMxR3h9+ztG/chsMt
BVO/dyLMZ6MkhXQTE8pf8ArhfqrcznvszPrH7gORjwnCFvbhuTHAfXs/5/giUcuOcX1P86AwdowH
PX5Qlg1lX+t6CZ8ikmRrtdjxFpB6x1NIMKpjM9xykV/s2FQwMY9r87csRpCiy7pF9+7Ykf6swVRe
BZtwvDjRHm+zcs1fdcySn+tU61fEo9Pfx0ymtXM5Ue/JiK7bJti4f0UyNYhVKpv5nK4lTmlTHk6e
yHY09ckfzIxXK+Dtrc00TePdIBvMLBFr8c+SboAXU5/B+58Ds5b9aETtW54fsz/V9TQLwBy5+ik8
ohEQkB41af3K/ftOJ4yhWZXq6qQk/ph+tgt+ta+XauuTGPw9hucFu2yQYekUEL3xBP+9UsDUzPJB
gi3r4a+M35BCSJblqZ5IXZ8yBPJg2HBLcF0cCw1kqjr2pCPBxxlNxaymm0Ft/8tClUADjOcwZldF
48yfhR0INGXVseQdMGasNaHKDyA9pJzNzUYzIhHJmeODRsgQQDlaV8NVp2MsHo/JiTubEAeXxu6w
Cg2xLLFf+RVR8XzdjTtnGWaMlvMhx2pp1AosHPa952k9sgT/u51/pPmEuS1MMVHnCNSXdqUeyycl
IR5ofTgMEDehqh8It8urdjfl8R8s7/5oAYYkpi/xmE2vVsIBWJlmeLQB0TctgBKRXCxkwK4vPAJU
u0I19Yqjk9F7ydj23FBs790eZp1+l2/5MXp6oEwjoA0/PmKabglL7UsWafNglN/9BYL86XHTQ5r1
BVIgnvYG6YzIt96R665Ll4GhSvmBSSDZspScjwaQ0avi0xD7OA027eZZj/FeUIFVrUAbVG29H4U/
mUgQkklkdPJ2XOv0ajVmt62BbuOF41TtrSey5sAq6DygGI94oUa4I4bWz5vAIloWw+UY8jr2yCA2
IC7ZtA9tjRBu1pUH8x9Uyz25cGyp18BU84e5cuU/njf0QN0a9tBtOEBVW0gZk7OIg4j9yjL74gqi
SJumY9iQfkFlBd5lrFRnlIGkOyD9ytfQXuQRAt4HSG7FD4eEtKLTrnELpn1X34MXWn8x6PESKAwA
hbTj6iJQv3QHETC6JUIqx7b0MUtH9CaZUvlJ+BgBStJGvDBIAsxJVaQJHcF+8Nj4CZMT/EMrb5Nk
i8CZgxTXLM/g3N09mJgWmecwhlaYXNfuAK2n8CTjjAXA02IFL2foz2ZNsVensFU+g+VJAWEs6YFB
6DhEu4saNFSodvN4jBh5e0Rvi2slOGYMOxC79NZx+5mxkEjMe87cTULJ9DrbGXlZI82fIC+Oqi12
1gBhTfS6nhQIvvs4FwDA+FDsv/5PMrSNbcxXdqz+gWi2vxI2L/LUrMv0VeQC7dRYHz9dIOtDHjT/
WmaEdGA5yNmDCbpECWJz9molRT6vBfp0VWVz9pcdKHm4VJwxUKHx6A+v1z+VJgDmY7TI1DpqLmE6
RlgLwtKm4oQ+Rx9Amm3PWFWj6fKhCG+QKZA/GswEGlnD/dbKIyXTPeJIwScN+2J/mlDzcKnyiI8b
mKxav9YEqSyY1ssvgjjIpMMyWv/IMjcB6V399ot4hcma70dyL6fvSuM5Z08a7XPv3J7aW5Aj8NdC
K12Rlo1bWt77ItIS1IySTz4NmHfxK/VD5kmJ4EKLfldXFsVqhbLwean1tNxurMo8CCZli36oJGBK
hFjX2dWxUIRhFchQKfo91eEf7tB3scKoKToDOPU1dRxgqUACnmsLCthjQPhIcYUmmALXVlDbA8pT
85P4zhI4NzoLdyh7ucb6gfG+LWsy/2NEUdppzxeswjafnyffbK4DRT5u54ZqxLpkfkyfVowgSVdC
nfW4YfxfUQ5qDvLJcgQKfu++K4bswSPonSljW4FaBwOSHatwTeH5+6qLaaKtSg+qOhyS8GaPibwM
6bSOYH/X9UMLBrTWIvFFtIe35rFEyOnfFZ3nAUhz+ogg4Dl7XKBGYYDslMAHNr5JYT/pdP3NgPwl
lykPx6NK0k3dsnKPsV3wepVn2A3B/03kO5PagxY/qW3DLJ/XYzNCPrSRsYOel39qAWy2XVDP8P6t
QoAmMoI/ZvC7Hqd1t+tpYBtYfU9FjvsbMgwVq0zKJwHKdMGtHjArzFk2fyYCXPRJbyjFXZg8Tmw9
J9W/PU/CMw2H3W5NXaLlhMRtaVfZwn8AB69ot0HxfCmRa8uvRwoF/nebQ+KlMXOO8W8egNshaCZj
HWDd+DZ5m74HIeu0tZkgt7C1z19l5QA8I4cbsa0TWN/fh6xsBe2AAm1fDNVyrTaCf1mtdsFISytZ
dIuoi3/gPQqwHRAOfPPDCq4qTTesWciHT/4COwEsrlHUbCdAH2Z3YVXJL0kouH6CzxKOnRtB7ANH
ZuDfKw78t0da3PwsXB4+PcI03nFB+A4Llg2pT1WYmrKji932i0Ms/A0An8S1M47QT0xLWvZDzkjS
zXUk+SWke/6eFHp8hSKW/zmAzb4jrDPlF1DT6nWZxuJrjTP3LYaeBJg/uLlPMy/03jf14tZTYZv0
L1TqJrYZm2Dzx8ctqLhOhHS/NT5fV9xkXLO13yEAwUFGEvM/vI9+AXq4gCcerQwY8aCzQaK5INyc
tnWktxvyJEA3eU2/WK6ABKRzzXq+utKdqzEeETxjkRBsDDPZhnsI5RSuGcwA6TzOazjPx5HLTuHZ
3eh0TsAlw3L5JYzbn4yOGGoJ21jRBcDV+anQhZ86k8g8uY1MrqxF9FDxTjIPRkgPdbafJyywz5Ug
qemagpBwPa48e8G3XuD9T1KO2aCakdIy7ynQmeF7DmgHxsyD1LmRKO5O/yQr6DF06QkBwzE11VOy
lXY4O7KrP5XBdNSNGmB1K8lQoJ9l0rzsiy/+Q5Ix8Bktjrlq1x2uG/pGkVWY3uchZPFOrPgmRJsL
BrTJDkX1AF2wEX2NPhx7vtcLihIpDhjoLPIfzgM+0SIvTC7VdJuhfAB55suenmizji+TGALgnsKR
8TTP8GEAzssAK5u9jF0WDiiVUxHFa55gc2gVEisG/Pga+1JncW/RIsFxHOg0XxuieGkPxie9KZ1i
AmalprwpRU08AH3nf3LcylcTI2zEfmrGuSMCta+zkDsguFjPizkDEhoeN/6dwCFdmb6ShB+/YWbB
66cPBs1JUMZvPaf1RrsBCjAwh6zOrrcJ798HdAIokLTSILqyHMVWYMzCy6mz1bTpCIgB8SXQRyEZ
ccMSO5bLjq//qDS/yB2+E3SDip2oxxLRUmSinrXdyXRXBMfKtvaJH9vBInuokxqA6lUdyuLLFAv/
rVFSOG5CdVzPKUaivobsiT5HIY+7QJN5vMN0Vt45k1T6Ulhtx64oFHQ0mByA1qSpTdde2YwAgIkD
Dg8vivndhgMXsuTj8KSwdP322AngIiIzIgxibdgvUQ8mwC8ZKyh/0DqmE6je9dYYjClnBUxddNKE
9YBBNl9/pIeb/xJJivHWZ2VxBX/18be0sjglGT+WH4DuwXntsD0GFKWl/NdYNf4XwK1+SaCvr9SU
kE4wg8yeLhcDprd9wWjej9bQhx1yD4jCwMEiKckGD8rBUgETBDLGEavp1o9qmlEEDw60HJ1kr9Zu
EuOGR+EqHP29Npq2mm/0tYHa6IPL1L8mS1Ufrcq0/9CImk77iVvyhHkivu7Tgj++qtUvSo/1Vfg5
aVrU6nSCzQq6E4jF6IqhJQxmhHu81BG7W9z2dkTEC6AGxMMD5jLVWrfp4elHke70V55UxxMlWFDb
rbbb3ywZNOYRLEGmZ6A1rxUuECMdO/LbESNp2cnRbjM0K0i/RpxnjpBbayCywKuvzAW9kH9W1BU7
QqpDzJHktCBag0IJM/YMNzDtIAau8K4ynINuzPIR6mWkgoE/N9Botd81GQ4ZPGDarvhw1J2uAXeC
kRPmFRFS8j/h7Tr3E6blBy0xeZ6CHQxoLdC7qm8mS/3ZT6C1F1+qpQuVoLgyNifTKTI0GHDjtf9j
RCI+sBDAqT0qEl+yNCRHW5PFvdAhTM9ZsPjsR5Y6sHBoH7PpoNcAMy3rfX6wO1t+KJrlv1aNTf8J
sFNOuwViqz8B2tb3YQ7q51YKjNgQgk+QgY0sf+VFmOGxD2P+g4Dm5lezHpYPbudv0SF2ENE6BLXt
lyPRgrT2aNAvSDgm0EkgE1/KEqKWieMLKa1b9P5lYe74U2IFHTBv5Hg/cwwJAxDINIaW155CbtWI
o+wyvhVPYwWlNc4BvBvtcWTpk8+df1L45JgBXEmnDwjnsHiE3f7nIV9WLd++T+620XG+ikbotxkk
MA5xI/3YEYABSQu+gDctgCbAT7EU/J5D4F91K83wwY7B4YfOC6cHx2cgOABxmZAgr6hiEAttg9+f
ho1BVjF9q/lbSh0PkJ0d5A37uHzIC8DbuNsTeTDrPjxCCopIXJZqep2lO3Df9VuWhJesKBD7KOaj
7isAaa8AEs17MrisOFWJBBZr1zH9AWmkLjt8Sg5gFXa0Ekz0lFahQ22FYAPjln4KcNaNPVlyPGS+
gz7ucexT1w0Q5r0Rnhvf5zwkV46AckfdHvxHbQr2UmBywX0qyfGZ5hHMPmzuIz7skhYByzlx/DVl
Y8FuELTqHvSCHJgzjj+KGRR46I9zAfE2WFe7DJjW8xUYkzIl2kOY1ztCUU/aah920e+SLrElZWAP
MHXYZ5vV+6elO12vUiSB3GoJ+h3T2sxARdLiA9idQ8mr1uFqzuGbB/46zpfELVDzeErMLS51g5yh
yjjv8CEnaHJKB0kLYR4JTYkq/xnKZXkiq9Uf3yUBmxl4DqRzY3q4rphXCCsER/q+1C6F1YHng0ZX
IjUgGeASP+QKXwEkMSX7ESuJ7/RFgG/QH/A4275h82AwBtHxJhYaqLVhEMMDtIDi47yQIH6IZkbD
VItyGY7Pmt+IAjwTkmySWWJvKsVzsvvpr5tj9YdD9w3dJc+T31tcsAgVElk61HMobIYsgYlxOBKG
Uby0+W+cwukOev+/nm1y6XJtMOFVI2byKtYZch61TK6mzEDD5COITRTpaeGnqcaY3lqC7bOdQNFB
YNS47BpCHF6fkF8HuWupSf6hIYBDhcrReidtkyu+LXglAPY3j1tm8kcD1Fn3zOXufcnQKXH4qPvM
9AJOBMKn8tZu0Hu1upnHVxdAkQGHcsU9jNwOJxwaSn46IOZbkfhkKDb4SoC5KNc0ucGDW6HPEJ68
iMYPEK99iw7nAh9PutjFjiiyTL+vBY6zy7f5h05Gn19N0iRnTfxOLyioi+iqfd45hVICMCC+9PM/
0s5rOXLtStOvojj3UMObjpYuAGTSFL0rkjcIFosF7z1eZx5lXmw+sDXTTGRGYtgtRSjiiKdqcW9s
s/Zav6GGkHTncUbPU5q7h+DoTNuAItudDpaW0mNIQ712KkGmwIvjCmwK1O9paXdKzH7iI3gV2KVG
02l2dOZl3IeYldUKJfFLSGtUDLIh1g3sfipguJQiqFBwVwTNpiuMRNniKEMZO2qV6jmP5P4DylWg
o7NFl9mNmrG8xwhLSC7A84Y/Ik6L1DH6+SVFX5lfAohM6NsG+dYz6qLCD2iRtK6NqY/e1EDtP+jr
EbWK69hyqVUl5nWlphSB8S2ceAOgakunNTO16ic8u0L7EWh5+AjQoGlIsrqiBSYTCuBEBmhHsVMV
oK5Ofcpo9QX84PqyA0/eOiYlrukU38MiDK7prw7yA6iK6RfJVgfsfTBUr35q/Bi+yaZCWMs4E2jf
v6Hd3T8PvjK0aAdUZu5avITBVbQCmo+8qSlo+8YkvFgInSHGZerWVdDGVgACLDBJqPP8vqZ1D5hK
DMVfApCIzJ3CWPM2AEIs4FA8R1NXrcEF0d2eN4DajkgQypnZlY5ZCbVOVm2ALqO7Zz00eWneTq3S
izQoJ4YJ5bo8AV3bX05dPVFymzgZXJoh7Z0PNrqlJyTFJXVMM34Kc1pTbpvnFVo+IP9ILON0pD5c
axw5lRTz0DcBg0jAxJqmAYsiBDFtBYFlQ88Wcca4mAzvtKSeHCI9RFLr5KJMm5C2W6ZvIe0VKC4h
kGZuqdbH3E2KTDtOBS2OElyF0YSTVZ1Mo0oR/HsSxr7bBOiiniMRI1FVETNB4EFcs3z7QUTJoIzS
0bPjkeOd3iFFnjO0vnlAAzIxwHNNkfSmxXIMQTlDHBMN1S4e3FTp1N/BlHEGCiH2MragpNRlrQjc
r91yWN9VSZk8AkZUCgQaxOGp84M0OBNItulnhIVya/gyulmDVLAiGz1rJDqFknTZk9C8lVFn3iMC
bAE4wvbI2yTWBGV0UuTmqjJD+TXIZQORiWgQzybNz4vrysqr2x5jdRG8hglQPZ/T+dRT4spRxRYk
GFm4ALU70+ufWZDwto0Q++SQB7jpuVTD1VuOA/pG0MuA4SpZIggz26W94ZiaOkeJYnCNRSQ02778
vAfUxursXMybS45GesNgh7xnCBfJ6Yhe6uACcqAlCLSnfBmhxtVuCcitPMdxRfzjD5mpnIgCdT2H
0oDEVSLq0ehyuAjmRuoVnpxIjDS/U1+ue5Lo2H9CObe7HYOq44YpdP8tKMPpj+TRLdnGlRX/srik
q43OxqL7UEZmibBMZIAFHUkzHVY8DW6oPOwbyAokezy343fq8tlbXhhhb0sIvj/RuaUu09fNeJnn
vfWGogsIHrrEWknlf4qAKSuC+TuJ0ulXyHuKUUkIndhtanSqE4WR1swtPK1zxNBIXkMUW7H8kSb0
A1Sqc3Q6w5m6UXcWANEsn1IAJ6LIx/dp1Z3X/Sg3tmjIwOnjQhUCkEWRX23MwgJqzd2CR5LpqxMg
+rwsr3AWE0fXEHXxQvMzLARCqU/yE3LG+GeZcyqTxAE3auWCox+QY/oOxDS6kTOjAVsYyqmwAQXu
3TScT4FDai/xNAvz9l4GH/5Y0K950HR6Byq340WaJ8pdlChqdltGfYuAjhV246lsdsN9HdQ14qZT
pSDuUySNdzLmSnTXFkpNtakf4aaM4kSFkdwFKdRJNmNzw8tI0DehmvNEHOpSr1y5Ydds/CYcOB+t
vsrOMnWQW3SZexyXqKdqnA+a0vDjANbOexFOheCgoJYj0RBJY/TLzAFLnEBM67zLjncNIC58yu8G
sHIfKs8BPrUk9hgz+dTXPTUAQjaCegHS0IjJr74avAeP7P43Uk9zaXUcepWDgBxwA+NGeYH2Aboj
hQX0UoYDF3nVSNZJmfQxnVWIQOnpAKbzjvdJgV1xJNdA5jU4QL00lZJTJ9Ad7ViWkwRUCYUR1/Ng
w5BHGsYN9WiyTQ0mwI+oAnLnhrhHmjQMWq4nADXKkzyW4a/BBM3rJIlBlgvFsCqdUjS9myxSwRbl
fUySS6s1iLe5kur3QioD3mmh6t3UgtRMTml6bW/jmgOCqTDE/EEOjeoVqNkkbAdjrE4CiLqTa/ql
d86SUpNNXEGAo4CjZLeS2Zh32CXmL6ZSasK2A0jw0Urh8KsLaDdRZInUq3oS4rt67JmnnvXwVtBc
H3hv9uVZBc+q20ioujcOv5f4oE5WcToIkQcghuLp7zoO/Zex8KPXtBmVx5RH7++2HNKQdixrzpaV
VBhtH1w2xSQNgQ58eC35Z5LQnZHi1KOGm3YTDXnDLE7A2peywxvJz7kN6cORMgPOt1sFTbSNXzXG
VRNpwsABnkgaVcAoeq6KOHywvNi6oYFI7aX3vEmYS11Dbpu6AK9lCFUeASPn3RupBA8QGbyl3eTQ
HmxYVd4vPaBosa2tMlLdEVSEBeKrGc/VSU+R2BDneycSyyTcqF1AgTYB24FSQ2oa1/MLVOOoaaez
Oq/9yvHajiofWk3yRd1N6qMfc7bZiFmGOA3xWNmaVUGSg1Bz9aeHhneBx3Mju10l0jkPTfgFNvJE
Q+doTekndjeNwjPsQ778MCJ/boaT9KAMBrowJQhMme9H4oZbTi5DwYkz67aJvUmzebYHpBKeJLFN
RFl47ENlevTCrpWAhs8VZ5wQ2jc1qpXSmXoqMs6E24THYzUbab1RPbpJ+aoCQFoe2PaoGNIlXLHq
yrR8oMeGlJLv+6rRTC4do37g/KdRL9cjTd9piHtvC2RU9U8TqbZuhSxAvMOy6N3/ULqevgaN8dr1
mnGsIVuQAZzJkWoJdt3gm9xkyKm4fkMDfsMTNovgIEZ5fiuPEgAB0GM1dBqP5USbpGs35RCMhVuJ
g6Q65gQn2hnEtn3rlF7oN31bSdHWCqyYnRZYOvkXUNQJIJ3vR65EcTD8PfiUaDbtJEidk+aw4knX
xhjwhVXK4TlaY1Z62XeheaOFcVK6SjclcLRy0HbXkH9ob7cwFpiMUkl/S3Em1dsxmLzBHQeKV4hp
kS67ErNYuRNHOxlHRL+KiU0KQaI+JHt3YWmQYZTYXAhAPjtSk5Et/JFkA+bpIQyQu7wZEbIpkfy/
RCakeQY9q9KOzGv9stToQDvKNBaAjM0iQndR9SQwuJxnPNnl6K6RIp2kmZoqmLwegLabwCT6nXvF
+JgnUnStgk8XZ+ggVWTqsgbP07z4Y3odT0IqvFQNqSOSh0UarZvGSMRX8sC+cXi4ZCSmXWVeS4VS
Sieeak6vvtCLlygcdOIPmGTK716TlLlMkwDUxDfIP6NEHEx0SsXsGpqBIoHmV9qAhjtmBg5wIHaU
MUTibYDBQezkqsgH60RRe2jrigZz2eo0emOxts5GwW/6k57vfT9xrw+nKjWOs6gK6IQrHdUkyaTc
CTSCuzMHh3JFzsAlkoh13tlTTWnjxAzLCviFFeT+Q9patJ0A2Msgp7LYvNXTHFgsl5B/XSZgiu2O
Wf4JVr27np9/gHLEBGaYIOT1DSRJ7z0uqCU7nTLw7lAHMwEwgn3KixWMbGa/CEYDpFZCESONENHd
oHynvieU3VCBlYvgIVCzhvewaJUvyCnpCeW2LHn3pbICD+HFFJcsi4I86PSseJBysACctCAxVA19
YzusMSB32cXjqzXqU0d2r4AK6SnaauBxSCZBTKvJnRrCanDoR+m/NLMybrmZamWbez4db5ZutREb
vyLxrwqlcObTedzKESWfTTQ0FLQ1cwIiGZjp9YxGHd1gKIdL8pms1k99etvjJkCaoDyR8lK4rDvu
0tM4z5Uzk0qJbJuIyfOwz4dCuq6hBf6uPHG61kMzaeweiEV7quaTGf4wizCTKM/7jXExNXpSPPFC
EJ4Ei7IoTaBCBJ2vR+S7TV9IL0k2UVGTyOujd8uPOsHmIQZC0ZOgTJ0UJZjxnwZGpBYNFyvTOBgU
imSgbH1K8MB/wvERbGmHn4YFcWmrFDB57LwdcZ09zq5eCjlhDoC0J5oNsLFkpmHBbk7Q97FKYD+0
g1X5FeNXz27jsj0x4n64EYQEMVfB8/lcTesmcSudHA+/1L+bw+uIOWLUjkytvhRWgrRaNYBWUhvi
FQ+jBCBzeyqCEVRQrS2u6VBY9qSp/o9qSAAFHw8uLWn5n9FlUaTniCMDheRdajfgYq+sUgbv5yon
He1CN/It2SFHeSpJQdna9J0rmF+bpOk1N4vM8STLeHnLvQ8Me+SpD3bDWvu95AXlfPF7qQstBvzJ
dI2GYmbHHtf/ppI8NnWKFeEm5t0TFozIbpAIlOjqh7z5YK5u4gwMDHkWZfhSb56Pz9RSWeDzF8Kg
EPmC2QBaXugXlAOncqvyOM5Sn8IrzDkfWEdCXTKucz13j0dbSlHM0VAmZEGgXooj5WL4Ra9meLmD
AwEMbP5SQ0MBHAdZyrDDQRt+eSQXK3IGh5YhKoiSrqEBi4j5YiEAj6zzuKYLDxlQvtEBmZDwSiBx
G3E4AztnnRQZZO1c0VfsHfYDqzo4Y31egYAUrcX2G3UBmkhRQAPMxH4WMR0vR7pnP0BHKCC3y8Yt
zbK8s7TE/6ZYBFtuJ/L8yb+Ii5g5zEdwN7QZ0fiD6kUJOiweU7WSuzOqUbTUj3/U/b1GPBRoNESL
56+7kHGoRy2XQpW9hgOSeO6DbOWyLfIVhZ39pUMUTABNmbQDwsG8s76MitChYpXsHKWXmnNtBr6Z
qXROS76/N0Bbr6yb/X2hIoGizA6etAMRs9oNhyuqZ6UCK7VquMEaisQOtcefUGuk0+9PHwe1KqI2
hrTv8qDssUNQaWpyJFQtCTwXJphKsQBgubIuDs0gj0UMzukqYau5UEWBMVZVQ8gl5JVyeUZ6BOUL
lnLogCOF/FxRQV4xcT8YEQt3EaI9EnvGYg9IPOrLtOVwKQKhf/dGamtWE83FyyqIb9CdNFfExw4G
VAGAzFrWsO5nxY8vi6Q3wM/GAUNs6NwDXQ/q6RwlixaSf69dgbFob77/8WZ1OLRZVFWj07cbMAS7
TtpCwKk0SqDVjQXEaShXvtyhxWiJFtgBUjFD3bvN8krzR3P+clJn3fYZigrO4PuGsGkTEpmV/byU
ZZnPDzxiWIzc2gRbrJPcahPyXnjHleSnbyGtPdChMcCVqbgw62y2NRaa7un4RB44Ljk60DyTgKXA
+Fpsb10XBmkoc7a3VZSbrIBqVo9UXpU02paJZ6JJEGoXs7Lcr+OBD4yWwFxGeP8hgry8kT0w6kOD
NxVF/k58hhkU03iIvfCaxSP9IsUBl9nDOvRWtv2huJhuKejzykRfzjL6MX6Uzdte9gFDO1BfaQr7
UhJZG6mZ83uphrAUSC3/x/ERH9gkKNv+V+TFVHdyiP5fydFWe635IsMzj0iHpO4U97V260MHXwl4
4IIgA5XxmlEk7uCl0UzdWw2QwoQ2HmhYV0M1dNsKynfV+Vi2Bn+/inoYpzbas7tbsYLubsAuJUpc
DOdl0xoOYD0NJL7arhwzB74dMoMK62W2y2RIu6HKRJSnXktZM/D+XKECVjZoFaTbkEbSbQFE+TmW
rDVviQOngDUrv+MOpOHALC0GCFkaQeeOLRKyNFyxAooErcU78UUYCseXyIEvZoH3sPDQwNQGbdTd
AUYQzqkgMUAP/R/XasAw9aW2Jvm2H2X2U8DBwJyNXkjTd6OInYlHR4nLi4B4wHXcx2D5gqhbScQO
RJnl8fgvZ+csI70bpYWrkmaaRVPaAB9aSJkGUif4rqayia4miQK2hdwECuJZu1EGMegGnhPYUQIY
Sa8rtHRyN6+EJlg5N/ZXgYauqiYqSGHjarAcTtrHsHOg4wOlbgAlO+E0lMkzmHGjHGCWjb28dh8c
mEAuAgl1fJE7DnD57tDoZal+puFJMfVoroapXDnAI1dkh/cPpVnoktMftRKySGvxlWTyln7IKKTK
ohafd02EF4Wf0F+NCvSPZz53Mb58d5GjM4wOPYB4tA33Xqh4zePqkZAnK0rBUywwi20xDoN7PMqB
gRkmQp6qyGWqy8t3QI8yrV/FJU9/q6RZmQTGRUrNwvXI8GDF+mtmPwe+FvH02UJSxkdkuRBzXfa6
eDbeEYCf2eA3pG1NAvPtIx2DEv5yLhJd1HV9cQIO3Bl9nvK6CUqDmhkVNx92hIxw0snx6ds/atFo
Q8VexafEgig/D/dLRhf0cmb1+EbbnpJNJxqIpddEoFt3Icg8WG88GK2SnZcBVc3jgQ/MI4JD1Po0
hSMXRNBuYKvWIfDDqLDbRPRuzAE2Vx3F44qU8X7aQ3VNhbuHt44pMcjdKJ4eIJ81S4QqOPMBQ0dy
BkpQf09yXl4UQkI1IDIsel91k67M7IGFSTaJAKKG9QpP8cXMdqEYliV+K3auq/4z/CbteWottd4m
OZokth6Dndp+f045vNBJ5FKROfx3R4t7JuJeyBjaXdAIV5GmImFeFP3N8SgHTkhADmgKypC6LHbC
bpS8GNALMAGaWYmZncCd9JpZD8Cgp5gkqbayEw59QR21NdQmLdFEim43WqtgrAUWltevOYQnka6C
30tCAXF9z4gus8ofLzVKgycKKfzD8YEeWqIGcpB4lpgSxinzF/6yN4yQqrivazAMAE/dSOhKbXJU
Gp3jUQ6tE4ysyMy54xSy5N0o6EoViizwqVI9NuwagMSrMiBVCsa3pD2n1ysX3MFR8XxDThcFfUNb
jGpCsiWHhsiOV/MidGHSFzqwMoS4Vnb4wYFRS5iTHP53+R5G/QroKSoQqMR48BTwF6YVU+fWkJzG
qSbWdxPsorUK4IGgs9UKrysmU0LiZnc2JxkodDHB5RnxfaP7BU1sBGufo53jp6l7/NPteaHwxbBB
0WXSRlHi+y0W55Baga/TgrAtNkG6CbtGvOwHNMOssMlOPZMWkRSWNX1det5gc2lD2f5o0PhLUcVb
WUgHPux8gpvIWetIZiwVfoMeXCaOTznImsrfYI4LgM+X1x4bh8f8Jcz8a3zZFZHeJJ3o4WjjTdOg
21U7y2lh/6hqTqpYzbWWBsKZ2NNHMxNEcYsEtSGhG02cdiJxxXvq0NdWMYsQef0gv6stssIc+TjP
UBkynDHETMGqfihVGQMIE/3zrpaGlSV9aIopeIscfXil7D0qVX3CJALtRdvQlBKlNThDxpj2K6M6
cMCSNfH3I3erzAKquzMMLlhNhpbXAaJ55YuHarNblrL/hpn22v14cEC8tMgNuYPRKt8NhQAzsACJ
W7jCGNz1KvCANGeClVv4YBRoJBwD8CP4YLtRYDJ5hYwVKta/fmhuESZSW5f3FZzn4xvy0MzxcmPt
U2zHEmWxHioSbBMaK4GERtwKYNFdI++M2wKO8P1/JxReDBbCugYSPbtjSuuhbiyBj1QMTXFtek1A
J9MExAuWqI8e/xvBqBTx9hF5nOiLz4SATUDuSzrY0dzYthgdbZAmQn+kSdLt8VCHvhV5C9cRossm
yju74wLBpOp1SvWClZneIl5hXulmt+bTeWjjIoLMjuUSEpWlFW+WdPoYTqy7rAY1abcgRc84HPun
gKrUtmjh9xwf1qGVQYEPgCK+kSzFedhfTi2lgSae6rTLUNDKnGiCEFdFGH/hZRWsfKz9sfHCItWk
WmJQv9CWM4jjalKDqJ7500B6vPI2N6tzNOj0U7EKu5WBHYhm4kNFLfbTUsZaRmsVAQdx2uhaL+jn
fmoJD5EFB4PK1nSDKJ+3kv3trw8UqiV8gLjVOXKXhftQ1IHrCzk0dnrpL8VMgkgVub87/rkORqEt
wDaeVZ3NxcUqCJ0+TOgxgWdDc1Xt/OoKAOeajvmBuZszE5or1O1J8xZ7mMo5fCgTVH3Wjd2NJHkz
NAKe77ma9vpPufSSP98e1uyQKNKGUDTUsRcBFT2pQj8gQUdTjNQ5lX+HmfFN32mV3TuftdgW0Moh
BVocFrKAvEQ2dbx5cgXd3Bq1GCrKauYAuYCSJvLNvp15cK5rvFjR1CLhk+Z5/rK5yq6Ac9NZoPmS
sr0wpsi7FNte6b99ukOoELGbIASn+zIfN1NwPQA9YrQwmnyTxunHNEPKKj1a89baW37YkPAsNegY
STJuJIt7BG3fSmhFqIdSOYYvaS4Um7gJ1mryh6KwaWnecy2RVcw//zJtCVn/TLAFI1QlIFLCSgku
1FBLV27f+QT4KsOOODgtYVGmSqewyJdNG9CmQMoNwlRxr5R2nJlo7PRjHyuXXVuACYxqC0weBHzO
GCQ0y++34LhOsAyjBc6hyAJZnFHIlAMHmIt3EMFM11L6jwyI8ek399YcBEgCLXByDNg8u7MZUVgf
9IAgSDt5P+C/gJERfG/FsHM+eHYmk2rqbERCvY6cCfDFbpQqzOqqqfXXFu5xkQu3eniaisY2l2Qb
1x7SKMhkGE+srPy9Ks0cFUITJWOKGTiG7kYFmYgK8KC/Du25FZgXabeRc89J9Midpufj07gMRV2a
ly7v7BnVgQfUIlcL0auYLGuEbawP/hUqKp7T9mn3Q0C6fWOmHtA07mz3eND523yd1c+glknOK7Mf
uMl2x0fj2UcAmKABJKcewIYwl0PRTXJgkq+BJJbbbhlsse38UTJMZOqgheKfdRFkEFmnTkk23x7S
XKiG60bxk8x3cYRUeY7XmjZjGwMPCD10wVtTAlgXDI23ssEPDGgn1GL2NN3zjKkkFJzHHqJE6p0g
2vLdxJBpA3uA1zgv+blKvSilta0UgO5H9ZHqsnbSUzmnqzUZ2+PTtj8WriyYFnRi5gqTtlh+PEhQ
ARh4PCIB6tkoZb2IsfTyP4ux+DQwJ6ZI0yFZemFR8B6vgw1QyrU7ZH9NU4JA8hW/W/oVurw4j4ZE
aGR/QqItrzv9tzSgE5FA/J31Kow1N6bP3tTuBpqDcVHNyQVn02IJ9GgvqGNHh4x2Oeo0ZKYCJHCj
vqiEtLwCyptvG71tTxGVlZ0hjOQz1HeTb57AHIdcy/NzXDTRsRMXv0RaotyeBsazFcIyKJFvdAY9
XsvZ9hbIHAR4Bd1Bma7C0vg+RU4GeWL/JR7L1NoopaKdZ5k6WivV2886/pcZBWzDf+bCLUAOvDzN
xUJEWKajySQAvG1BMgL1ky6QWWuvtNbX2MRCAw1q0GAtQnbqY4xFYBK3/pmGsInD77a2mhbDnrE/
bDvIOTzKyFitRYpVZWbWF8XQ2xP444tqiJFBqpVmpfJwMAppPcaztDesZVFe8YwwzsjmbT2F314z
126bCNL3zqvPsdBvmvsNcwtleZJMOS4QchZwKgaYi1SQvi8UcVrrSy7232cUnspgRsB14LizWI2h
mcmo8qE+AQMisWs1Tn4MKCRsQ6hzK0nBZ26xu1h4gTEYvhFub4q+OBtVFTV9Y2Tegqh6aOEOocal
nExefIoK8qmWV69t2L+2EiY8qnefae3zQGN7JK0sm/gMqfu1Qsichix+ITI+QwEvxuOGk3T3QoWw
AenXRHVflCpL+UiRlI3Ps5rm6U1fYgi1jcMple+QmQvfpxCB6xVk0oGFRNeKbyvT3Ma2aXH4ldIo
B+O8e4JGF85ivtIFSXB7f/wgP/CJd6IsNoVXTXKLbmlng2pDfFjPcxe4c+GWQZS4x0MdHpBlUWnk
giID3J3QCtaslyWs2Xbyg61sDcK2kJGv+n4UDnIc4XWRnsfScM7CuCFBzY11lEfRK6Tr+kroBP3u
eJR5WpaLw6DlMDf+uKGWiDhwHH7RpZC241CKTgq0k5EaExN6DnJbFOdKF3WPxyMeWo5UDUSgXFwL
vAV2Zw/Cdib1KYRFhaLf5SBp/RsOC8IZBHLtJkWfDhE2Xb/Roc44xyPvfzeA97zj2P/4jNLv2I0s
9DRwhCpCCcRUy8sozvLTwKrXeir746MzpdAlokMl8pSbf4svL7lALDtdLNLRhux3J+raW6eaD96k
n3dowaD+2pwaavU9kAznGzG1ubcOssOkfbsbE/5Sz3M+G+2yMlL/PURwsnMKSQl1B7HaInDllu7P
aZ2hk7PyOfcXEL1UnpIsVZ6TZGu7oYHiBJYVE9rUAVErgxdt8iIoNxglQZZoqrWKxvyRdhfsHE+l
xcLjDgjSoho0SpOn+jLKOnWPiII8pNHPxPe9LSjyCMqkUZyiamydHl85+4cLxxZdR0rweDkp8uLN
FUxQqqZZqRFpJMGJxVxwY7W2tgVKXd8+XAgFtgpqKW8fQCe784kgUW+kAmo7qaJ3sZsmSVeeZc2s
HHJ8THu7YUa0SLMxG6Vd7vjFmhEGuNimBndDG9ACESo0sooYv7XjUfZmbsa7E2JuKtCENhfHspLA
4zOxKHDgcRaupMYfkSE1blom3UqkvYX4GYn3MAkRkFRN2Z04ywPHPKGYBYsNqdoNiRyy04keaL/h
r5kotxWRuj0+uL0p/ATza4zMBCVEDXs3ZDCNgYisEnqkY9meoX2SOrCKMve7UaiU0GWnkcnS2+vl
oUzaRUYJ69mKa21TBh2sUE+fVpLc5b4iWQFhYiB9gbsLwpWLJQ6nS8I3CmRJ63ki5kUocOrkLVjl
cVJblnInyMZK7rcXkpIuj5QZ/A2KkARhd/oSyVAGpYYgEtaV5A5ooGuOlTfCjYQ607VlNrPm3dhs
jk/n8nyWeISJJBmfu5njebHuhyRDrSDDTEq99U5KSN9PgGzPvZUo0qI4xGmxG2ax8BtTKawgIkzn
kgHaAHs3Pyf7/fEqsG9q943kwUbob2UP7CWfy6jzlH+5fEY5i5M6JCoV3214KrkPqTPZH55d2KKd
b2U7WBnn2mzOP/8SEFJ8lAizNde0xZXDQbLPyZxiZQfsPcCWw1oc+hZGiixPovTOL2bUfs/s8z/O
/dPxlbFsZy+/2bJaTkbf6mVCmMJ9fcpcLFfs3+c3b8ejrCyMZf6TDH3biTFBmm1ot06/yU+US9ld
+zDzMv56Ty6mbNkOVwWMYwK6TraUIcTceUDX86o972KjXUlUP/OmY6EW+zits9pA5bO2yw1CVw61
FAc7IMd0dfft5KV2H5EE+h+uCG1x9CphJanR/Kkuy82v2Hn40E7enu6VlaEdOKG+nhXLppBpRLWZ
zVFM7bn1TkNEe4vZcTOL0cdY64N+vkKPzePiyFBQ+pCTefOOzq9pK55gpbWpt8FVeObZycnqZ1tb
iIuzIjIFWUN0az6h0DG4xp/ANbZ4nzmPoRu6f6CY28gI2X9WA8/jODbOxZnR+yka+iWBlXv5vH7K
r8pz5Zd3QzmsGu3ibXzIzsNr5UZ7OL7xloWxve29OEViFb4pVMz/HHDqcFnbaKM6yNitrc75sjwy
wmWPnlJlolZzJOFUdXoH7o/9blwa52tvjbWtt0RT+M0Q6vkcSOErIp3AiulOsf9yPNtwig2+3q7p
mM4aAnttqery7rEP+yAZpXmplhvg8Q56KfYTgsDX2E4/ojF8dvzLfSYfx+ZzccIMeh3AjCecfAIs
jstU2EhXiKO5OIU52gbIiv2jss8xmrHHn8djH7x7aDFCBpg5d4C8doeKRsyYaD2xG7ff6E/JNtj2
29GNt/WZfLpW2juYNnyJtlw5dWymmTgf2zglbyQ2puJa3BOqY/1IHUwHb+sbNLhPqhP1wlqZ5UOH
Hb0DhXcraDkqqrsDjRC7jsaqqO0KBXlRgiuL3JU6frRZ5UbTyutjeT2RjFNYBGYE3oNupLg46/Qm
lL0gUSdHUBpli94SysxSFeLTNk4ru3H+vb8uHkKB3AQ6APTapNy9WDyJKeuD3OG+5cFv/5FbWQbs
Vkm+eVXMUVRQU7wGqETTmdudPRVzazwlkU9q4PZeI1xpnFddUjviKKfXUZGmj7AtpZvji/PALAIW
niHbpOzUwueff8m+ciQWqrrA7xHTymKDtis3vdqkt0jeJyur47Nxv5hG3nAS/UCCSTyxdmPh6FNN
liGMjpF1meWgmlE/IiaHJlOl5Ur8kEhdg2hsaqB9S+m4Fmy0FtObJBq9J63Jmhzpga7rzspUl2/B
p5T4FFVhYdqFiPfS8XlZZqW0V1nDkAQtCPEQRBarS0BgKRSlYnCwRIgRBlZkG/OI9IUqNvIBfdGZ
52Mhc/iH3bA5Hnr/kyhMEOAyi7UNFnRxuaG8KvQj/AqnaszXEujFY4Nw0DVqmWsYzwORZDqKug5g
gFfvsvLi17NFnSVPSOHNSiAB/CQ3HyOUPun/fBwf1f4eoj4oW4DbKBGyAhaHoG+IQ5ojQ+UYCNZs
mmrAkKn0V96Dexc0n+3z7S6Z5gx13LvN6JUo0dR2jicEnj3gAGpHqa/YiT+m52E75Rsj8ZKNLEbq
JbWT5ENLR2nltFgmJ5+/A6gZnUODWpq6WDrj1PV+XrKSTbSX9Y2fe8K9Gosg+qwGxZoz5IYRXPn2
7M48fRBUdHZmlPTu1hpGK9CjGHN4EeVPpxTq8NSqRXllZAe+oQU0ea7Eg3oDqbgbxe87Gi1j1CHG
gv8mekWoAmN+vRJlf/4okDEQifoVZYRltyEeldhogHU4YV9kl4laS24ooBHTo/zppu3gbY/P3d6j
jSljQObcHwZ5CQ9hd1gqnjtZYxh43kpdh0WRwGohiUTiOnCHGltoVOO1boi2GCJ3bxWihu9+bfmm
KwEtmLZRoehrkhj7Mz3jM4BMzExs0ob551+OZXkU6wQ/WzTmp9A/j3JhOvPwdXGOj3z/kGPMqI0w
0YD+sJHZjQJ3mJ7ZaNYOHrOZK4oo5yQIA52KpiaAztB6lGaHujvzhPpfIK9/ex/+3f/Ib/7z2K//
+R/883uOTNQMRFv84z+vi4/svqk+PprLt+I/5j/6//7V3T/4z8vwvcrr/E+z/Ld2/hB//7/iu2/N
284/bLImbMbb9qMa7z7qNmk+A/Cbzv/m/+8P//bx+bc8jMXHP/56+50yJ2HdVOF789e/fnT2+x9/
sWBlVtC/fY3wrx9fvaX8yfv//b/yv928tUl+4I99vNXNP/4SVPXvnwofID0UbiKK8n/9rf/4/JGm
/F0CuYMkB+A/WiCzSEaWV03AH5OsvwPsAVgF23BmuyrsrTpvP38ma38nc4G1xJWmgSGAqvF/f8Wd
z/Vfn+9vNKNv8hDbs3/8RarF4vhym6v0lIAciijyzbCEPZBApyqx3oZW4Gbc0qZT6ahFbXrk2j/i
sTUfm16JXxF2wVJEi3IILzUS8wh8SvXgGGbUv5vR0Ko/rM6PMWhHXf8yM+rgNS6QHrM72fIuTZ8G
9kklF3WOXqPalfcgSFsToYyxfw7R6LgN08lC3jRs0n5rlikcbdSCDV+4idPYQyQJrPCrhpvwNX04
tdgiqCf2zxX9fUl2ECeT2l99kog/xL6Z3S7bAuODzNd/RlY7XHWppmxFfJVGl2GiHywjLA81ocWQ
CoH9vH0NKzkQnUa2uhcxEkP84VA8NG2/L4cbnWMKKdR+VoLPwgj8EWax40lZNe2zVTVWcdUjg4s4
tSj1r1FWQoiLR79SL1KrhEwz+UOHX4FpjM96N/R4DVmBZ9jYd3aU4WAzl9A7UWZx/IDyApK6qfLh
F9V4YebYHDmSEXmaTUMTRbyOA7rZZNNs7z7UWHAheRDMziI5RUwHSFs90YWU24sw9qGbIFCA+GM5
4MDjwY+EuCrOwm8ioofvWWy1900dhX+atu3Pm1CP8DtQRExjCh1rCz8W1Sv4BtUlTa36tsYTGzFN
Gt0/mrYMa3fyQtThPbOJLaTTu/zCm7M/BGwi/crPlCqxZ/zkBwXXJrL7MNRN2zTAY7ojXn2pM1ip
9dAro2+dQNCwbsY6KXxcHma7qVC2EEQNcTCa9Q8modhOWIu/i0Vk3LFc8hbFOMO/wl+EaSzicaoQ
3ENt1UZJTUouWevcN2ncIQJGCouEmY+NUbExwyJ9jdEX8uwGKaltRRZVooltZf+HvfNY0tzI0uyr
tM0eNGixbIhfhNYiN7CMFA44NBz6bfpZ5sXmIIvVTSa7SKNZL3oxZbWpYjIj4g8Iv/d+95wvxtg3
6TEosuYL91r1MWEO5XGpmdiwOjSnL3kHvT4MGhMEp2FAC50GyFLFsJXX6Ii4Cyo3T1/SqpUwQeuF
a3fR+upuY9ffRa/nKZ7AXVYeFn+G+N00PhKKLkfXy5roQlyq8LflyTOEm4c5Szx0CqSuv/VbPuE/
ghwT5fZAbEtCYAlHVNcUtsrdfI6xBiZkR9vQwNGW5wwrugLuv0yBzUS20PsnZY4w2jrI05Hw8pre
r7foQLMGx+KEIdvSBqPlo08Qm80soXEFeWDUGf79CgWwRHaRalcoMTIRgg4pnvJRkyPNQ02rEiEc
BYuaY5oeI8NdHsDu+U8a2I/vLHK0HNrGwrkqTGvO47rPFwBtw+zhv+wa98tkLAUiPDF7n/y+VlTr
tYUbk8dh+yi8Rr5gjC1AOC76YBD3wo0Wy3GrX6Fmq+xQGUDvY6BwcwacSXo2TwhNBQip1/VKDLtM
CcbY/DxpNr6zbuuZNyljs4djzn4lVgYmLFyuINpwqOhy4Bbx8UDTyNPLIGpBq13w0epxY8/iWgf+
fDsyrnpIjaPv3NjNiBGyUan1MLheVsYbu78epgEHYD/nc3moZzYWpmJkAcrngIWwRkttOxkMR33y
gKx6Fx7AtnswaflXdy7hkWYyX3W2h2AhHmohoMqZKN++t4AOhpiMrJaAFILzbRN+7MGyD93dlLto
tSCpYwjjCNKetb4BUKsXS6EOYiqXJzWjS4cYmHpvej7r3qVqkcdFvSWC9xq/M0rxBkxgovS5IP+r
5ulJ8FAEhhoA5EUrs8LFsTMfiYQuoaQih+/Kh7lQRAq5kjGCa76V3WPXWS9mkiUsurH+UieYMKHG
l5VbXWHy2tQ5LWmnh7McUAYzVwrwAdSIo9fKMJ4yoHXQd8q6AJFvDNYj+HDR8itfPVDO2NhDs5Hr
gwjc6tvitjzHjKzXjsOQbgma9OGimHdKdQN7Ge6x8ssgWZwK6GSOCC+sBcTwcNamcU6wl9kfSNQ0
vCWmVvSQVRakibyhHA+Xgg6TzC4Uxk/NywE/5iXXNYyqvL8EoEtW0+r7Bor6VAkv9pYNjDx5fr4/
DnZ2ExnbIM5usxex8PfFN9zWwr0UCvNLnJYK8OqgRGZSRCBguGKGD4asIK78Dop2W5JpWb0WV25v
WpCCUeHxnLC1T9uSg+ae9WDeGCcileUWX+fHvHKn7FjPtf7UsU8Mmd7S1wBhdKk30ABBFCRe3kLt
nY2sRHS4jZLAmsxqwOKOnV8qR0Jnb7QAhK5QBc5320rNd91vtO7k2D2YBqvubHHWvWq1otlN5ydf
7CRMW4BLZq1xce1wsiYTXpmP8CvCOATJXYzV8rEVG6gC4Y9cJno12s9Q4MbqKJpx+RCqdquTyp1l
O+njwMPK9iVXWSOmtH2y05VFM4tHI/Ry/Nihb4nRjd2lCz7NHrqVw4ieb45900v1IyxddHMkKYIr
i31fNn95GxZJraetOizkaJZoSzep7+xEEAC8GNb8BIw343Glr/mCnspo28hXfIu+U4uvYgzm5jDb
K9dDo618+/5WrPmxMFdeWmpUq8Fvped2KOaeb72BuY+f3Q82F6Co5bC5QdYCz0vpLOtV4RXwgqdR
U49kdRi9AUnpIknJiDTKxGUTqWJidRkXxPytcLz6BlNAtyWWqpcHkyclRpNBpuYxyCxfnTaJCzkS
TW11p7mbpX8rtnpyk3n1979qwNt4KNaMTz7rSl87TfPU0882qG8ucskB52zMWsP4YE51N+46nxcI
GT4AVMi1dCdCu1Or89hrfJDgQZrIncVcJfhOje8p+NduF2OQbpLbVIuTzHPDiR2BGzRRq9CbpEMc
/KqyxWDPVKu1K11hKY2UtXEC8GaxNrQmcmj8BWTY16bv0/SMVoNraaVZB/JzsiyfuPzgWScbivOH
D3azOwrJxuZ5hmMqONHUdnajW/CgLwVgWPsClQSXMWkMf7tX+GrLc0MZ1r85zW7wwBPwNGeuDmBU
zWN6LCh1z1bx45touJXODTJUbpSAAzZXR94C6VWLZ8Ur3sbg1HZI2C+tXDOe62AxiwuuQJd0F4oE
YFMt/qcEPpP7iYiB/FqMQ13F81wV3VGOO5qhBudsHQQogXd/wZgTW9DJb7TFqve3l14d60HjR6jx
XTzQaUsD3AMDPw3lAS7QdBza1xSm/BBuHtcihy+MAEnDV7AjWzcx+iBv6aDRa+a72DDWSzbWuKTt
led3Tw9IxBsxIRdOts1F2tcdd5yEMN9z8RtcyPWic4ELNH6s4S4OV5LXkLWPt3HuHovNr/qolq7G
8bQ27Gc+V9wPRWltCXju+qKZK28IXWORb6XaOD/kTqczwARqOIA09K1XmevSDcF68ihLVY7fLs8b
sJeQUuyzT+vIiES1bbifHDMA4z95nCgnligeSC9aPETHNOCIajVfgw6zcaINg/3gg9bGVVGPHBFN
sS7fG69YvTiFaNBFaUC3JFo9UX5jcZ7tYqqQXj/Ibs6+tP00VNAmhy5PcEpOMVGaOU8AMFfM3jel
vrP2o6HL08ryNXAXyQ4l6tbrzt7Nf+PmbndCzu7LtoHpDTtauIq9jtl47jLd7E78xm0zXGt7OKwz
ubJE0/oxj/vCct5Tf8XO4HVGFenDyEvK5bMdk9yA68/ii9Zf8rRvqyjNlHjScs8d7peOkj3BhFiD
wCM3YeGR7h03nCZZf1j+7tsQk/rE9YxDT02aE2FG1EUkgjlnJxhcxshHqdmgQeo8W2KQubjOunn0
2cU2Wr6TzeBk0KU7vpYk2bAx1PTtz0CCWa3j1ky/QrYOimj2djOP31hXonPQHZulX06IvYrO4gwl
CnkYska3TzMSnut+ysb6MBX68NWzyiZIZlHYNoQNU9c4QNDxjiY5Y9vZUjF+0nLThhE1r2Zced2W
cdaCjX8smv2aADLi1AnqDWSDy2gtoLt79guTUdry0ut8/JG2O81f5IKbQZVaph0GDwcUldLcQ4hv
eV+GvT73blL4uvoExZOHoT3b40M/Y0M//qbq/7Wk/m0J/SPc81MFTZdw7z2xukGr56cmz2ooM9cW
kcUG3hiYTZNfXFtlIT9l49a9kmApv1pOioKDHQrkmRuq8AVlgV7O0TBUHhaXlKdDnPe9/UEVj1Lq
z7/Bn5pQe4UPMYbE1b6kQbjnp6aitdodjflAxHOaieuBlHqM3m/9iybUz5PAH1+GNSGmEHtG6Q+D
nKWo00XTrYznaOk5Hz4dTF7niFrIOnZFoUdEvKH6U3lPH9uwOM/NYmZksMuufmqcYf4MtX14W/LK
6f/iN/RTJ/If3xnsE/AWO/Pq5yQd1F2GvanIY8//aNsB03DLStZpsHM4jFv18Tc/7h9RJtYQaBnv
vci9W/+bnh8/tWdrQEAjpxsEy70Q0+EV/tV88A8/E0d7nTA+m8tkEVmM+f1XGTEJTlXDXSWQ1zJt
4Z67ld0Cx27N5qOFy/TvTZh2oALro8wz6BYBdrV++rFIPpZmqrVmBIKE0nTGd58pKWlSzHP855/g
T/OM/Us5RDvpmO45Uuatv//Z2lLHIwCmhKfihEWiQ9SxWPDRi6Dr/+Kq/XHx/+7m5WsxMfuxRL/3
aX8aZgWygXQlKwsH8FK/VV1q4XehjkHLrZAZtCKHwm/Ro/AjiOPTGrWtqI1kxjmG8dHBe8Uxd0td
EF2zQJeG7/qqc9btC9eZ+1WzQCIjCXGo24x5S1+VO8q/aufvI5effwQwaD82vSF5OT+1f2XhdsYy
zvxmlN5cZmndHjFHYTbQPPGAZgjDzDzKSFaLdQUG8K/IP//NlUjzjUY/kCGTXOJPbXcW2oJhQCjL
gVX4R20jSGq7PS91XbNooTT6/Z9fHX/8ekyKaXUzLmaV7g+xPTT3gdYVVopCWfeoNNwmKveDp5EF
99NkOX/36bkPpn/z5fZv5ze3cysWgDWpnfL6K+xTUdZT0uXoDv78h/qxPPz7XyLBx30ggzOJpu/P
u+20NKs2910RD6uV3zjl4ty3a8ORF402FCvUM4a5fBhuWqSnrDCM4ygxdMZFR9OQpu2mXnlhUilQ
lZRsny51Xsbe2DpGTNBrgyyVz/ZzEAi0Wdx6KEnoYRpPrbP0HMKwjPxdft2+o093Wic6zFj9D5y3
efKQYLmg8lZzSR99lirZIzDtvxgU/uHVRkyB7LLOe0dnXPZzJKNs1jJzyfpHa2mB4dcbmqhL3f4j
VP8/N+T4Xzi+sKBM8KL/1+OLf68+t//3P347uvj1X/nn6CL4xYfcCNSBlRDKlf0p/M/Rhc0/2ue/
UI5Yrf5BOPp1dGH/Qu6B/zJJ4HEAw41n+z8nF8Yv+9YVIw+y5szn+M/fmVz8fujl8I0xHiEyDJIR
CjaBi9/fl5jEamkKcmKDGJFEZBIfNMJrJ2iozMogCNUuU8SglKWvwrHEX3E0f0rY7t8A1x40SP7K
fZ/p56lb2srFK3sLzx1nV+x5shPLAbEHpC42ot8QI5lZnKP6fWNwkssjSA7IT4VFEaJWa4ayu0L3
PvYjwOuzlM2koqkPKu9vPb9+fJuc+34sp3OKd35OQDDQKHoIDEvY4WV+oMJ26Rq58i+OWDynfv8W
4v/YPwl2tel1cO//HDMVOa2kSWDWoEfE0MYzFELlRnnuFznYfqjMxRUoKg2XsUvqt492MC+3g+na
T76vig5ReM5bVHbNXu4pUiFsIrhNf0uXPyA4V+CFOwgKdP9Kq9kHv0tZR7evc9bZzEe7MdY1wQZI
cc4fl+NZGA3Vqt4Afr9w5aRvLwjdN/NArrd59TyvtqKVhiatryKDb6Cw9oSCZAVVD/oxctp627v3
NNCmIEJs2NWXC0DW6dDnBQgBG7dfyqjKTt2DvhRlEBeORXE998g/6KbV/NMGYM58u0pO+5Er6KDe
TXrO38ygh9I0pNrXIR0ZpJnVhfIzL32p63LxWFTYCpzTZpaeXHsKzL2A6IZzbcphQYANJPm0NWhK
3lrq4O1MGcazu+xs8ji5AqsTou7M0Yyz7NMc6QrrPWIyM83PyqbZT5E+FNdOR/M/8luf0Es/ewSB
1UC9FAdCmW+VFC1FGEtvAj2sleOj841FByHsy7dgq2jSyTIA0JzPmMGRooO+T5SqNhOWyObe4LfX
Xmn4m9ggg2Ko42wTvp8UKxHTxKYIBxLmzMsQLn2gT3FFyEwdzB7P6EsdMDY7a7M0YRgUXd5HbEHq
7YtgcWC4GZfdaS6H3n5ysZLZiaxyLTh526S755Lxg0OvqEICO4xuu36qNmQrT1z97YxF0vef294y
m7NijoSGmI1Whkmm3311Bqu9qAqOD9Bd/aU/+v5ERho1YYBdT3Nm9EhpNtqh3yysx+kIzmWINcfO
78h5ERlQ7g47MyVM56jwahjejUEMK2RXeMYuK6X1ZEJKyRI9NVDC60Vu+y9sutnVS4rC9KvAd+1z
UiqxPdqTsp9dJNUpJkngymAWitW8Mua6XGM1bj5jiCZ7k6SBvuhVp/fnJWPUis5mXk66tWXazdy5
7hhqIxJm3xAw9pQ1Fe+qqruHcm3kV5ZPh+pEf9y6b+fZvaeGR/7Fbk7/LnyjXyLTUO6FLgJveeS5
t3JLqCJtj2NQBPpxJs3aJbqXkjWzmqB3kEbqKKNTX1UvjeH13yekP+e+X3Uj5uCU6TivB22MGGgL
FLKKNuSBx7l2Q04uK0LUY87n1UAqFCnJCylsB5NaH/fqfJKS+jjpMdkcXMaA9gHDgqD5L6oF4m/R
6hHWLOZLOkovrDwgTeKeDebxOPPTvFs0YkvaHOumIqeY+AXmK1u+0aSRyMBJhHzvrPLJWzEc+QOD
kDbFL9fmyzzF+aqp5ULo4y5ul7UHm7AntoE0wzdiHd88bun9S0VjY0LFqo0xtaPeaFwtthaTS1BB
83yA7mS+0sTC4GWugXq2mTg9M01Nv2emH9wbAJ/pUuf9tB0Cwo/PXuO84X7MPwo4069NXro7Pxlx
dSw0gHb0yZUB0C5N3fnktUt+Q2JAerG+Zdt8TBkQ6qE/Kk5Ds9FhoesH1tIPhJicDybsNGMqOcon
I7U8Dfn8NmmhNdSbmaAVLR2k0I4vGY8qIQ6IaRo7IoGZGQkzJ+/F8JdgPnp51V/mDks6YTALq454
g7Ef6thtRjpgzZsvvVQDnXTDwL6ZsVxsqXb70KYtf6dvlYvjYk3BF9xt85fcLe9Tc+5YKJ8cR8K8
rsyrHnZavEESvVsB0r/SkvwwO5GTeeWV826WX9pUzA8TXrovHr1ABMBNdhyZG2H02Iava99bc9gx
TMmBdDfai7mW/XsxDVkQWVWwQ7xX0b3PlbldYlOGrmliZv80etuicMOMgxdao6k+6pW5SZJJsX7O
KnXloiosDqJ3jccCG/HHENBlKiyZP+e258nIz8d0nxaYzVuLog4dN1/lZuDmZMtGWaX5aXWbgQqx
9Kf5BCMjoyMwjMU3V5oV2xGFx9XrFSmeqtTr0du32I1pdAaivNvom7KZpDm5hfTNqh+LXo7doU+7
5k3UptvG5eyVL/W0EWccy5SBiRYoQ3EFC/t2Dqz2q8U7Y5e9yvorFA2RRW5bEHs0WPsTPNqVU4aD
Hqy3TTaNSMBLU+gXQJX8h0VKIziP2hLcFi1D48j0WmMIvYlfNbWmB8ViQwDeX1u70jevhHBD1MTc
1ExYM7TSeEJ3DII/blG/Zf23EUsjSLKmkW+DrbfMvrVO3tQYOu9GXQZWIhAiBokIGBK4fr4/Qv3R
J90A5EeLK5mJe/zDfhUFHuP+GJGMWTNpKTsR+oPHUbApF3m/WpvarXhB8M5FVTb/qNT+VjHwL3NM
v8s+/Wku6n9hyeDuYc4/KRi+9N9+Wy78+OO/Fguu+wvn4Z0kbrBOSTOA0/ivxYJn/UIBwUmdoz+o
JwBJ/5Vz8n5BO7FThUDI7GWExSH/P6sF4xdQgKyLUuCBQd5RKX8j5wTi4KfzKZ0/Yog+cFYHeQA7
+7+vFzg6DgVPLR2g9NSVn/UVT97cd7UTt6YFaKtwxnUKi9GDTtrabZQy5boO0HZeNGRC7oqg6N7S
rvJu271922JV4AgL+GZsyrkMF6xkOY8uHr/RVszLQbTlbkzeHX2WNtw7weIyGg8K+2h4U4yp8ayy
AWB4o2ndK3na9i1oPFHHpdXpLkPEinBFSecYyrHzbcns4Wagz96HM9bBCw9AxHHjRXBXeusmo7lF
FGgbkILbbN+Wb5wNWodrF4e9T8fNF8jELMf12A445DXAyReNPU7DlV5M5tUsx/5+ztcsqktZXAxI
O747Uz3lnL7S4FYWTnFUpUGmxuzM8kqums1xqxNnx5ifyb3pbFBaVfpqtn561Y+uuPDAZ19BYH/K
B5kn+tRhkGfYzolnOGnblt9tYIAvWiTAD11R3pF+KpLW6sVNO+XmtZ1P6jXttvq0+LmHBBBRT7jo
lnhRTs1a70ouLmZSQg4Ar+ETjTZyPUXgv0BnaeMNc19iU5KdkLp2ydJo5IbViHmbuLrwWXJmI78e
eZcy+RrMKB+z9bp16y3xSF1F3Tpt57EWQVJhtjt3mfEwreUFyO7XITCYScs7HkoAe72ZllDRjqzV
DQZN/V31uzp+RKUqjzuCFrNjyStHLO1y4FdphptulReCVtkloMld8g37NDDz7mB2mx7btPGwk7qK
cc8u7PDZhnAXkl+915jnDOv2x+abY4In3tEjaw+WuLQsKUYWq4zczkpv69Z+MGreFFSk4cLScy+U
HUEz7B7WXheHrdCXB21LvdPsDWuEzFZGhVtKtIn+lLAt797zFZoHbTSXuFCGOFiMtJNqIGgk8VvR
E52aeOLiGu6rhXrgQP2P4jxXhUupkJWTc0C6Da+dwfGAMdYZAmUnvO6D3LmhtmBZORR97VSnqvOA
euJ+DgrLPhS85H3ILyb1lhbbW5c1xnVr4MvDrW4SKXOHkMXPYh4eVnqwW37pFiM4/Dvp5vV5djsR
W4rTX9tTXLTwTL750OtimxHUoa9UfinWqfnqZlv3nFbuwhF8Xc99sOZ7sUNGaGauczc5+5y/58PK
IHwTHMoylYy+3zyUSrYHbDwWMbg1tU5GP7tXY8mIJ7SMTnvf/Ha8FCWnSnexWHRYzPKGmH7xXqZe
cMSG1n7UZhsc8V9611unNj1yzLQ4Zo2VPWyLYLHa4UwDI65jCjjNdnXpbn1gHqbM5yE17+Qrn6KG
Dm9qNQRHRvfGb9PskQ3S7kQJEvDjt5DsiQ7FXhnUWlyCBko2aTsXclrdExGk4W5OPbjbIniy/L67
MjNW4IDtAH9icDZ2745eFg/AMgbGlQ4+UX8wvzpevr6sBQUg5znVXdkAy7baypJq5IZxPWk+wmOr
Hjy1eVceKZokx8Zyp1uj9eo1G4dDht3WCZ+AM3Pi6Mf94NTyOdYqszkFG+ZT33ridjbLzaIAqPPX
RdPUXTaT3QztwfAedTtnpFTlPQ8u0TovNWVt03ct7G4zq46mXBC9ahbJy0yTwRHP8EbkpbJIYznO
NIaCWCKzc11TN5mXZTwxy+J+Gdho0jeUsRyqV85BWLIIsBAxgHeMYfe2m0azie0uoKo2yVGEmTfn
nwTdfJit5F9QHOb6KWOCDk68dPnfdDmezFQFnyt2SdIDe0jDtZ6uziOqI/avN12/C/DPP25ZYF3k
U25/nvvAuK9orF8vqjQjA3voxjltsOLFq73vnc63A5m2ne7Ii5mJK/PiujCU9pazr9kd80Xzbujn
rwfbWqYzzyJWmdS4jgdvJba5GPR8WKhxLnOulS9N5/ZH9gsoQPlW3XDPNlUytlVrnfWpHWO7ZF+E
UdNEq8b70N3BP8Lf42C80O3mj0z5GI+8KmPNaIlAuE0W0yBsT5IKOQZmNnxx51FcGbwtw6Wz/Jsa
+SQGd9K7N7iUt4uJ5bl7OgKs+WN0Z501lUPUpJgkbDFUD1pgqITAkxjDPs/H82AW2t1g+KwpEItq
v+l0d0+Lytb3VO+r687iLR21s/Cvi9qpr4e1ng9D0dL6CCrfXXBfDsPzVG55FtIX889zpsrXdOTt
6AxG0ZJ89JzjSq/kgcSHfje5HiWukRWJr7n9DY+e9lJvS1KBhSpDnWie0mJCrJv3JVgHwz0Tk/I/
Z97ICz5L9ZvZ9fhUq2K3v3P4qONBU/bnsbHGIxioNg5ScquLzLRrZw36SGcOmcUdK2hfq7FcXmxu
6mOW7fFbCRj7nZxdCgp2ux5bIlNLRa01G1GVdhh8zUoR7CM+QkblNiicICah885ipLqgLWG9eMEE
/HxUvvEKkC2LZt7Cb/rS6h/1YpvJZhTjM0+97qbIU//c+mK7MzsgtxmiZcZ51bPhypvOaEWslsC5
bB29uK76djio3DoBTXjMyYjGw971OJRZfbFDg/bK9EJxQjws5jgcbGHTExj5PGPppupSz1wyYB6Z
Hs+py7gqFv1azU4eqq5q4o7Bx5l7GOW4ZWYnqffuRW4jQC7g5L8yjjQiQkp2UrvGegWvtLlAwo2z
A1HncVGaPOUEvA80V5xHDLlBwmsqiFbX2u7wXq63LRCc1wpQ2g2VZ/1oyK0+OtCYjwahoENVEw0n
41YcRpm6FyuN2Fs38JjB+FMIVXw8cJ/1YyQzek+G9ZRbBsmRICF5lZGsya6bob7wqyyhM3hw0i6e
Zv9Uo6TL9Cmc+k+t9c0oBveWVbOAiLZZL6iny2Y+bp477llnK7039EK8qlo/rt6q4tkwvxHWMN8b
xJ03qbtw3DG2KWvGkDSQPmtXNvQZ47riwlviHkL2FlXlt8Drgm8Wq40MeIZui2sCJ6Enev1mIJcQ
aYXpZCErOVck8bkvx65/KlVrx7MvKNmaLXMRjadp9nma6CtWTuMQN+ROjMe1xViQ6q/E39LYbnKc
7uY4H8jOEqSXS6ZxVAVz1m6GkZjFon3o2D8jWH9dkqpyRqWe6wceAfjO1WLekUUmA4eLOl1497Jq
WrwphG+JJoo8bO00v+CAOn+aR51+azOaEfYiJxH5WH8daDyd8mrYbmoxuVGbopjFMu8m2qysOIOh
FmsrMXMS1iq47otNHAa9au59nXC5OcniWKZBfmFrQp0yukYPwbSux57L9QxammMhCPpcuMuF25cW
bdvCZfI8ukd3tbQLHW8Rf4TUzCTtOR4Xw4zzKhdUtKS+uykwLrvGeINS/VR64lXbF1hbWqqh1hZm
xPD80hpnNzTc9Z5mTRd1PFVogm4EvrJ+izvNWB9UJwT7ZWws4YzUknlqigMQoJdtrtO4FPxG69rj
dyZ7luHy6Ztl9Vmiuo5FfXu+1oR32U5K7o3NmWSAL3gYqtt9xYNNzFSGDv1Z7pUb3VNnTOlO6JM7
igZnQ95o81brnfyDtQkeybMy2YjiTxMkDQ2/1d8H0MptXj0Tw71dja45kZ9aI6OqulA23hK3Onny
tCblZ1SsoJdEK9i3vEjFSq0im/FdV2nzbTRo44aB0owTGSU3KlEmR56ETY4tQx2q3v40kPO9VKWo
DhYCmYNF5OcoB1k+kI1e9iE3bBE5PI22yG+sCu9j19hHT/ObsFqrkX82j5Gyvat8Y3tiGow30xJz
GPi+5KFcP2/9RHuSS166JrS9VYVlCVmeVHUWKbrrrFORDgfXjqKTz4103uVQOv5DiTfqgI29Jt8l
6buyhnKx0lo65wHVVstb5ThYJvMotpkvtqwkfDYwLJ7xa9GbxAWfLmoNTa8YHl0GG2etJIOZyfnY
9j7n8Gy88yvvhWU8lrvHrUiEm4a+KtETfl/VGRMD702vnJ7G7ejrtRG3opwuW08SstmF0617J1U7
JfbWLycxbNEw5mfXvqJhu/F3+fNBr75rvgj18YbMMThzMUynGhH0I+TT7GwToznPwSamkB664jXP
wY5mo2+ef3QN/n8D5f/sA1SmpP+6hXKd15/Vvx2/9Z9z9dtWyq//4q/NFIvJK7BNWhh4xF0AeXRM
/jl5NX7ZY2a7F0rfiV17lOk/l8Zs5qvsAe/zVboc5Nb/q5limr+ARmdfF+bd32+msK2zZ0p+H1cA
hU4XhYUxA7Sv/1P8aFpqMvo1DfCVxeM736FCYQGcOkatzY1JyxNe4u0a5FliDIRRK5+SVVFtm2N5
qr3R+Nxtc3CWfi4OrcfRfhZTFloaD9Om4rKjQCkSa5YpQHf7Ca4FXeaqqW8IoORXDNNohg5lceo7
ydtOa2SiC49qksIrNnAjyVHcdQx6MDPJ20mO7SEb1gey80flC0L/ma9hgetfGdYuycrUMiRDToCl
n7oo7xz13HJGuxrcOk3IZ+dnW0qfBHP/3PG8vNT03v7iOD+eVrUX+XzZY6GRuly1Ovs8erX96BfB
lkhSm4e8db46WX3TMv446s7gWqHmLiMfC9Ztg5XLE+fIIkKo/A57tz0vmt/fyVx4ER4hcAuL6R+b
dV1vGBfeMgaoEpoCxrE0iN3aUJ0/TfAw9nfgHpoPNMGH2L507fyoSEMeBoaht8pWJuH8HYLeEMhQ
njYmxZY3oTva94tGB4zIEPPhfcXHIaP8IFVjJMqtDyuiqNAy1ZywlUN52tcc/+sukXblXWR+fzP5
m0wG5TOb2rZn9EMaWkmStOPS93C8VH3OXUicet8KAsXSeWjmoTysnT+GsAJ5sehGldAve9gGAwMs
5RdrHWV94aTNebIXmy5Wu5ElRdwDVKF7NTbIEFq3VyoGMw52YbItpgS3aVP3KjbH9IP+uJ60bKo9
+Jr2wmg8mV13OcDSeKja9Y7NBDgouVawe8ARZMzMV3MYIb+UrNH560heu37VSvfIRtKrnUqua/a9
wkCwI7hN/QVZeMgFjkRXr5z+tARleu4Yy2LmmmGaypRx0ND2/ZPw7O3gjywNBcOrxdd4yjS7P7mV
oz5vqr/b++phr5z5yWPxgwnf8InOybNcnJc2UN+Ljb4eEcpj2wQ37p5CuncWbfxuTNWUXWw/VscI
8w51pBqnXc44dJcqGfOm9i5ltS6fVrv3WWQJ0ubGhs2O5VMyvL6dtrS6Hf1SlixF2IX/Mmita8jI
XVl8Yg+xt9uY+ARJNofV5RAPEE1KbIGMKERJzCCsmai1SZZa9ATsjDWX57qwqDdkTxHB78Jg4tfQ
tNQPmzMXbTzlRrGEq3BM+7pA731bN61ob6ye/qqT6B1dQzOmZfv/2DuT5caVbT2/i+dwoG+mBMFW
lET1qglCKlWhRwKZABLAc/kN/GL+uPeN62bgCM89ObFPNSqJJDLX+tuq3zlFkTdJo1smXWBhq/iR
wsV/iaJ+yJKqbbo3z8386zzS4AetTGtLbAYGBdd+UzJ82H6mP+m1n7ITJ1Zxnw3wM3s1ZOspJTse
CsEJbiaktWhG+o1Fz+PWgw+9dthM++M46YEgc0it8Fhpl1myQrv0YhlrlG79pa/6BMTXfPJRq5cx
rHGbxUHX4xzI4WedXYWDJTqgFww8LH7a7moAs3m9OWbgGTEI9KMZEY8OSbPxlhxpPGhbBCLaurO3
DYh5lDtof7ffAdHB5VkoyscELCbCsu5Peb4L8TxQzpaj+I2HYAiDjUdJ+rs5LSync9qJNV7XkCcp
ZOw7qRK6N6ZQYllurZ59j3g6RbpuwXfhSOhkfhR5jglmgXB+J4uJSaO0VtreRxnm1ylwQ3sTWQ3O
vIxe2uFYB1WEyZd2lOG+UQFBI4pBY7gsui2Mexm1BQUwxpgtj5GpwuHFmNOWQaLx7APdpbzBwvam
6lilbcTK0BVmtK+lIeeN7c76y1bp+kcoN33CgcYLIqJiiRKasBmj/UUCzkeDdLzfeFvcR3y0pMUi
evhytQbb9QtncrZVjctv13K3RrGgzdrer6gT6LUImt7eFZHbeYcs5NKAehwDMGdgphsO6lUVyO5Y
zBtqtebn0Z+HB8ldv5tsYzrU3no2jbw8V4PsEgJM2qsHwVeU5rzvq1Bvcx3Mu1Fl4iHzMWx1kakf
gi5IN2vYoA9YOl7jKddfVlau+9wv7mfpG3uyHsRGFcq8o0mQhKZmPpo+D1ub1kOshqHfzHO2NXuv
3faqUxekuctmtUZv4wdjsWNKZ14Pbg7oKGWGJOHVYV9OqnkkAEY0z3U2XTMH4WLH/RmvbYHDlLgL
eWHhyqpXCdxn3KXKPTSUl6KaH0g1dUPT/4VFsZ73gF6PrfC7E0axHmvq6h1FZtx7vb+eK6PeSzVv
BuS5WdpesF6Zl7HGCjGlXw7gGzyy+Cu7Gd/xOLe73LAeiwj7q1mCMygV4qGrfWc7DilngnhMb5/Q
xqbdAbPTBjG9sVk4rTbgGPa96IWOl5wF38R5Dsr102nvA/OoecLak3M7+pe0DeaDaDv/QnII9AqC
fJYS+2AvIjGs5uCvlnOQelB//BUe0yuqbVfV+pAXYhDYsgyBO5yrueyCd5xaL9Iyh+PCB2LrGtSg
2qqINoMjvxUip2HrzdOTJiiq2N6yQ5ZkQG5rc1O1GG+77rYjTyMnRhA551Iv7X4cjeJ5QBsVHt2Q
5N1jDh30u/SMsTxZSxAUsRWhHHrPWfXBDRrXXvfUgy7+/ZRZw9k2INF2kMRmQb+lnrJENizzKOe7
TGzXhcXpGtWLT6tEKpWJjqnVXJmTuS8isSYi94Pp7K5mV22CYS2vpSmG5zJIKUObCkXYWuNa4o9m
BOt2NPN63uOQ03CzHYuliraUVnXtuVn0chDz6tOOVQVh6xyKnHX/REsxBj5d2TUlxUXU/zRNgxgg
DPFfHfRgDrywk+0Nx1H1OfzTyBc6+tmYN1zetq2nz9bIGw+bG5oDuStLeWN6bUIAjnlueMF2LVK3
PCH2WHBi4T+Rp9ZuiwKb2M2IGrauk59pPqvQKvm1BWTFdxW8r4HFw+VkrIgqtjPlq0ttKP7N3ina
+tFfTD0+mooV3kUnCCWShFqPTyMN7cYGiXV7jUy5rokmtaS/Lgw+n4ObT+6D8CHcYmKjp5pNfBAk
sOLVDZ6NDCPNfrWtIkSGj803lvnYRVvQG8GIyFjVAdQrlBMi12F+9M0CjF0zH9DBALScmQmES3Mq
sQ0yOgyA8kYWDflr0yw3vwJGvxoXlNcaT/YqP72mCg6AGoeCKBek61G/s+p1v1qLPBjjbbBV3ESA
rcCF+Uw6QzG+gKjZADfWb/y931UxjARtOegVmBiBYfBCZL8zwqsYkcM0KUPxqgf/hAQjYXjbRsZA
n43j5lttrt2+Ud3BCvqO+yfKXtFhxdSYXMANrVg0GM091RBNRjbcxqdCw+dh2fmGGx3dm8OafrzT
2IsXstwopdV8flocd2NqbC0xPijp6Ssv8HtelvkGbuvBDCElga/jAFSUe68/wXuVh3T0jsxFDzcj
5ydn2XzvDeRrF/nzaLS70XETr65pLlTth1VaSNyUuKnyonjuh7e67x5VNB5yu/2uQ9FsvbZ4tnPn
misDs23az7+KrP0MJY2RXQciZQ79weLT51U5Ep+OpLKyu+F/aB6Mav22dHqBmHseUDhunGC66L7X
MTRof1eEYGMwPYxFfvTu9iYhbkL8XadswLtmsbAM/JyBvqeG/TxZ0X6YmouvjGvdlG9roO6dRTyi
/yhOfooCZhzALFVmbIrUyfdOjgtWIwa5VZHHmPnBUJcaTLruuu9plM+jGTxZxBPHWTZdcjc6sFDt
VDaex1nBKtGLGucyuFtbxUQKPRMsA+pz6xp0kK6O7h7LyLsCoEPsDW/TjTAxbRXxiK4ydggk3izh
8MF9fUuyKO9GwyL8DxsA8+6HyIZdv/Tc5HTLxj25xYvWiTN1J7tFsVsaqt6XUfeT2jh+Mh1+SfAa
J/dQjUanNVveQvYjeGEbcCPzfuaIyfzmuXWkRs6zfk91hHCNPNi9W9QfJRsRFwww69kd/Hdz7dc/
pm9Md6lbvIJwDM9a+fFkwmIWM+BXy+46z0nWpyfZLK9VY57bdSVNvE0fAfP3XuvfKRY4hsykDMzp
bRnHu7WbHyu2q/s+CJ5hTMotOzDc7WQTUyLn8FiMJTE85L380nW4Xbyye3L71vn0XP1WtMAqarIx
rYK97YaslrHXpI95L7rYj1ZjG6nKPqc2XvoFDU9PWALSt8K1l0dChB8rZLNxpkx9xmj+m3CMbFOM
vr7jxuk2N09lss7z+ixR5R/5GjbgH7bTzUJIWdIU5R8ckiFGu0lAYaU90p9o3K2jJ4e9OzqdvdcT
bvwNV+7YvFd4uWBDYSGixNVT+uBS/w0dZQ6MUg+sctixlW3D01Asx99yEfodmNVhOgZp5f2+gsQv
E3Yf1+XMs0uMvIgwMZpmuq+dnYCgrTaGwhrPjyT9YLNGC65qp/L43TAcb+bVxtAv4VjiV9UAhgQY
TPyqjX2/vMMkiXa1bbL5ZZoxr68LNqS7qUHUtMUpUJxLU/OtE8KA/jl2Sx10FJnK2w9pdlv0XWXG
stauBLPRAhprYI6Og2Epkxl+m7kW4PloGNrHUGBosG41F/ToFB48M+ZTz77kXs7WE+mGudwoGuZa
UqnED2TvdBrZrjJCHPzqCM+TXSuL2JGz0Snnr5M5/QtROzSeGtyDTLYzaU2qY/vsZvPLq9ePzEVk
oPoh5IUTUX4Stg6n3bzafrmZenUawvTR9p23oZjPvhXeKwOAfisH27w0wRyd2waf5Q5FcAo96mVy
54/tvXSM8xxEbD/k9WyyaSLCnlCfpASUEbKwY9wtuxq+lLwMCIrROrXz+ujqmp+/X9Eb+He2Etux
58ZsILWIrH9zWAXPebDeo+mMZ6lFLGuT4jqj+cIKtBxUhXF8DEv6E1VzL4RmwPR6vQE4f0NouCTN
6v9wD93P7ozH1HmeQz9Pj9rR+PI8JzW+QMij53Qx7TRZVTFku1qNT2iF0jtqOi1OC6PSL5kA/E+I
eaifiFeoLBSbndEmFjvdssUe5A93ge9ECGbI04kF2D0/j9CyOju+uJg5jvwyhx7gKaaMrheV/aOQ
G9sgQikkMERej7NAi8sQTbvC7L5Le1F3WuDU1vb6idc520vjlhCkg5yT0d5xGf1uwAgYPaKeHJW1
5MQK7Sd2SLZ/4vZvNHzkXES7fIAo/cFAS5pSVJlfridOhTmJ6zxT0Cg5MPcyNdb2uax6Rr5Q947/
iHaHpTJrbqPXpBbjfJP/yw1KZ/6IKQKBzdtHkscKxKszmpyZbuEzimUmqUeJSR4AJ6UdwnlVdX3L
gmiaUWyFIcIkrIF9390MxUpcWn1+dV0XqlGUBc+lWxXzC2qilEfX6Iqawph0BUnXKsRoXzWaJxjm
T8uL7OtGPcmRwKNNII1CEbomJplEhEkQmqEwivzu2yj4WMhMQCbpTkZCf5TGp7s0DKokt93mSofg
apJzKmkm3lRyNSjH0N9dXnnGqYXyXTbozQq0LiU7qokO0JpM8Uxay3C2tF89usoJ/ha92SPtFsGh
AUhkQh8A87rO/C1gEJkSuS/haMfuNQhznQT58tgtChQ8M9UxGMc/jcBMp/nE7NJxDqxT19p9bOsu
kcIeolM+h9N68PGiONdy8Wf6cWGtVQwkiJCflTQqTzrC+b616lllZ+WHXbcfmFB/+iYsKLYzw+Vv
j0cgSvB7Uoc+VJWO9oQ8jSm8smhPJR607ji07oSwtWwC51jRjUS+1Gip+axubwtOMHDjxPC5JeiY
NYsS/KUDYoNgDLMTdgDBANlXnLSZGtIHWkD8BZsDOl8cPvNHj93mNV96Ew5krOOhbCykUQxVtWPO
bwXThFgdecTCAJ4EsvPHTW0+hGbmlV868Gs0GSPeB6V993WqasveKNMzNj3k7Wldx+jZqfL1wEc/
isCg+Le3eBYnHZttHsx3g0Au3G5KJ82aS1B1s/WsyoAoGw6Vtn+oNDknB+efJI9pZls5Vkgtyq9V
koLAEogjnHW1Xx9rUm/mr7kUWcpunC3eizeZhNxIaZKQIf9JHiHzHw89zC0hEBXpQa8kYLTtE1Nv
116dcCnka7k4XnYcUuI7b+LbW1AK83EJp9IH+IuGVUzt1g7bCOGyXYpmvQv9lNdAtyMDApxnmx9a
IQa6O6RRlS/8KBhjwNNHawfXyxs9Rm6WX2slJI4QQns+U2eG74OtNay/ntU33wXvzV+WbKv56DtW
9I3KxRY1MblUTe4SBTBmJXy64Y/1uM0GlPGJ/ifMBktqZj6kdTt8u+Qm6ITxPgCCVENzLkghCnfQ
hb7mrdNcYEMmIlRyVdWxtREcSu0teurnlCvHemS2k1gQJkfeZUY0BTsek97Yjpoq4zglnQlU0XMj
/tdt1xiTyOon6S0ViHWHkArd5yZRAdLi44no0EZiR6fjD9lJabQJjMaJTpxkBk2L6NM5IYaUU0xF
rbx9zzXpHJRDcXZ1qa/m+8it8+OID4uyhDq4be0jIXFUrZWln4TMONMWgLDjG6BMotoHPFn3s1/X
2cNMnDDPUDkGHzyZxtbImsn/sMc8+CSUzX3ijGDsCzqDw70PmPdvyoyByQm56BDDaBTfk8zyJBjk
eL+Kfr1k0+I81V5BKTX+050mAuw+nJxjPwz22+KntH/a6oAZa05S0M7XiG/1wHTBXLQWXXpfOj3C
fxWOgJhEBtVr316ENVWHsJNfudWNO9OkKlp4YXqTfC33skbRkooeYxIiOk7BzL2XaeGeQtew4s5z
jka4/ml8TajuYm8C1ud1bkxsRBHTDkbPUCqy+EFiR8Ivehe4OyU2qy+el64+tX345ALq/Z6m6RWO
/4gNHNcPA8h2pBb0uR3CuyzqLnIyshjP5T6IUPbIIkgyor92VD9kb0MY/kxtGhFUNlkngoOMfluW
5cLMxOuA1NJHZy5hbYByPP/fhrr/Tyn+l5sJHnH0/41UfBLtz3//b23x9b8yiv/59/6DU/RIlERM
HRAriV2R/4Q4/A9OEe12yBFPpwxmQc+m1+h/corBf+X+xIsCYHorbgtvBtv/FGg7/5Xfu7GAngWO
jqDx/0WgTZnn/8EpOrdQYQ+uEY4S3IxS+/9doR0OxHSsjl1tsSD8CbtSHP2iG4+6cLjdI1qJfw0s
Ypesis5kEThJM1nIeT2SZ1rG98+27wY0BsSmbFn1b9nH+XTM2tw7rf3iSNgbh+fVOEb13Owbf6wu
E6mNRPsh1Ii1a9mHyC/cEceV47wVtuxi3InRlxMME+eLcD5VgQw0yLQ4FrJf9qEM0o+SCIhd1Wam
t+k5cd86zyaxffWI92vwRl8gSsNfpJcQn1YGy8Fx6nCPxQINVOgWxlczWpo+9lb5LBW6/IUPSe8M
6n3eC9/WnLFcRx4/u+O8SCDYBUXv1O8G1AkbFEDB/QhatyU8s/ruyBWyN52pP5w+1PeGV8FlrLbZ
JUtTLC6xRieRgsCicMuerLI8zsIjomIIm+++ySfvUA9SfYtSoaAICbn8mOyRUb0w1QXXnNpPWYt5
cORVyb2S1KAhStO93baO902OUvZDIIx/H/V+OCZzlBo6GTOl3sexESB8UI916Tc7rvyUYHetdsjB
SOHamN61N0OcRQO6bujP4SDKsHrwR9xffmbJiy/QUuYYgMFmDZn/rfC5cYGkBhGBvrlpSb3buLAi
cSnT8iFlkYj7wFAHTuRg2yDNR47h56cq6B/Crn1uyug0Y05yFpnIAglY20JCyHlxUbzQe9UH5fhO
A+PJIONtg9r/EPVNFbe2Zk0FDUeZwcvazd56In/t6hFQGhsal3E5kSV4k2gg5rtJh6t2J933kOwf
y1Bfoe7O9tqcUvbdq9Nbv+Wq8GC55dMMGbGPGAb3egaFXFRTx10vIbQjrlXQxpovEFRE0YGlTZ5G
ANQsfbMXNfFGm7DOrH3QrP1O5bMEhFsQxWxwW4LC2PmcbgpHO+cZo1rSqvUYeb13aQ1IkLKIonde
jOqDnI3manjU7uU4WZPamfBC1NZKEKWazOiucMuQT8AEtpKzJnzQLzdsSCYT8SJLSglE0D6W7pQC
xWXzq42ue+9J6dxndR29mSInjBEJ1HRPOJ59Gq3VeFtbIKbIKuvfZrn88psBVQyQJCKVUTng+qa3
6xbXfnDCKr2UFhVy7E6hOkaj0X266ZRMLe0AgyWr2EK3jaXUD66YxJdz18r02vZNf+zaaX6wCVf7
sNv+hdHDfhzCcbK7uCldZbzIuWwXd2cOGZBbGTrxv37hWzZ3LBcLge78agzpO+JP9SkAGxKoew1u
BkSH4TVM8KU72wwIDvKA3yBi+vZE3v6ckOFe5QolQ5bd9imDAdlEVofyefT6Z1NOegevmF8VirE7
lIryw134g9pGORuDyUR3ZD2IkgOjcz6rsGq3NGN1iYj8/J15Ue/0ENZ7to16b2YQUhXORMIZLXLk
aDLcKglTJ6rSxGlmgrH885f9pSyY2yhBExsvC7p71PrRCdw5cuIGujeFYCzTO0T7Bhi5UYXEDtYa
f6XtGX/pXC52RRmo11vk4mHA1q7s6jAtPcF0kA+nmTv/lY+pcTWbYDxUSjdHBLPR2R6slqgY3T8E
rT2ZcQTphJhWDsYxXevmGd+rcTemsIobH/XIs6zzYtebZHmBYlb9HaLHYl/Opj5MgQqSGfXV1gPy
Znqf8oegdL/JUfXiCoZ3H65582Pkg/erLlzpbYFw6i2qVKpB+IEB3opOP+DzKGM+En7cSiSCxMaq
9QtN4oUHyYXSWMpHa7KCHXnB9c4UdcsMu9RPVdOE+xBe7vjvay+G2695vEklJjx2bskbhFBufsca
Wh4rY2J1MUc7+wnh0+UWcoAj014Xu05AJTCVKlIX7jPbJXwx9cYwxcDb58dq1XxNhah2SzwOb/LY
hAkhIGjq3IjV201r8DJ3Fvm7tub0QWvH/gwNzUdoNdaDkor0Nr24rzjbWQ+r1i3Owey6rwj1u9N8
I8naqTYPFWml8eTwFR2v6U8DNPCTrhdnG65d/6yCgPnclAtxgv9if9Oav7tK82nK+j5/N6NVfmjS
HZv9v08EiYioUdTSnrLK4Ucy17bdOg4KebNMwSyDkR//32+RUQTaWIzyoxLFcCzxUv5ka8b3hEwe
B6BEP2HWmL+RoTuESioSxl7HAJXCtinG8EuUY3tSOal0ZsGTygf/Jn/VTQM88c+ToDs1f+s+cGKR
RfW+snMexVAs+RUCle+FY+ol9G//hQmLXEAn6mIyL/nFeuLrVbrjz//7t8ye3xM9omse+pIUSRFM
BoFtCH4zbLwvlT/wN7pG5fy4FvQSagzem/a5bW4RiqMwPxH9ir3GytJvbXS8SU5SoJmgRE3bXdjw
56nmdjDOmw4I8tRiUt3JNdXbIABgOCgiFc7gnRJKYnSwgUc3pWMroM+16AIuZXBku47CR58kVQvq
MDeSWc4oGVl32rMDbkoG22isly5d12evGLDz66jDXo8E/9C5eW6hEe5F3GAO+rX22XhaJsdIDFLk
TgBHc1LCZgDAp1VwJZNUommuovrD626pyzpziYzzTKE/fFMbbwHEJqBVYZhkDsAAHus1CI5Aj8XD
COuIA653hk9SQDt3w7Q0n+zAWYPY1GV70NMajE+Rxh27b7RBSoUpFLqFdthawxTi/hBO9Ad1hv62
kDWd8GfkMez754x49rGYJlwIKiXYruatee/R6myopAuedG6bJbKIPN9LAeqb8tQxUhWmcx4aK7x0
5AAXSYf3yEvQAFCXBBKAm4J98EDMCZyGa0vF+2QbtG+6Dggpx8u+Gcf6bVoIqUJWPV4s1YWnLM/S
vcJYM2zdDjo8FpCOW9KuIKFNJAZWPXqHlobwV8ij6JtOX9yCupHRKSSwNQT3GSNibKc+t3dNaqmT
paV+4KGfn9PR7t4mE9vaprVnhtgZ8wTeJRyDwPV53ElBmN/SGqeRiFbUctzT96u3MvWRN3cibCJ8
5DO3XJYZfMgSdNdghm4wnKS2SXhlSXTUKSsK820UvQcmNZIM3uI1xL7FaHVlEQ+OoMbZviTFDclz
U0+3TiAYX9+du0swVeEugEZQ3BlWebFI9LUYyhomXdNlckaK5xiv/N/sdxTWzgcJDQi2HL0GP6F/
YxZI9wnfidLwX/h4+pc+EBFeda/cd7kRXBuc1ydtWsvzGEZsuGjDu6Ojc3Iy7TZ8M/Ip+rERL1Ai
A0JacYRYXCWi5Jzz1jT/bkvpi41hkWu7dWXdvXQOZvaT4/XGZQxJ1N0UllLf6dxWdwt9lPGEjC0x
RiW+J4d3ciVn4EIoE563Plt753tyUwMknuxUZ5X20XLcYLfOfrQLFaDy4ujgT3Az0c+RVW+ipeU9
aDV98OVYzWR4htETuZUU8c5Z9KCrmXhIqmVPjhsyY4bksqKAtwGXyJoEBtWB+QhASHoehTvykI2I
ll3t17dwKFRP/GWkU3denX1NfK07Plz+IarSIbaLIdoHpSDdZK18cbeaM5noXPU3M3m21zjlY4tp
8SyMGTLKtIzHlGkgBpXQZ2UZaMSsQV8t224OcObhsenfPQTiH7z0RIRKUV8aP8AZumZGhVFgNRK0
ZcGpGFrrEIr62zaa7NoNAu0yyrWjbojApI0wuGq3cEmlNF3KtBy7u0tzpMmgfTrJAwbC2mvVDnJs
fl7ThfCQOoXrCMLmVVmujcrMHJ+0JtZyxNdRMBKXzkZE6XoKMs+8pkM43eH+BN8U2be+Za+YhY1r
10uZFqbVqe+L3JVMuDaJKGkqrW3F2kiCg8QfzCSNsmVliRiI/uWGso2th7jvUK+wCib8yaG3tXrw
dEFYQdCuPz3E0sGKMn2il9nehf5oMCFFxqWAxft7W+yg2pGB84B0+r3XUKe+r45+V5aIIHp+gM5Z
si8UorycM2eWTM3owUspV9ukJE8c69Ka8NAUw4EDYXA2TTo652kltXZv+xzVZxG50a9aBfTOBnZQ
POJzacCYlZF/l1VYnF27BCVsc7yTG6fT0HloK/AMEIT6Zx3W/MFjO29jks6qfz6J7nziLHEOM1nu
TxEQ56/WCgnXCRw0DVaNh9AIzXLayGgWd23YhMM2GCJkc6OLRqelNfxNDYH7R3ajXRyraR73nY11
cSaY+VRDJDlxVCLwJInfQjK/2J35Z4xye4w5nRckEZy2zgbh//yrq8zqSwTkWsddwwskF+4z3BbG
9GwJMV+m3rNPqFmN14lg5QSDZv3kVtxE8BGECGyruUzvJwjPe52nWWLLadqbVY9yieIxRYdQtDqE
LesUyWQ+6c9MLM1zOwUlAlczfY5w3qBSYNJ/y0niqPh6prddZD0R60PsPhNIGuQ7+h7GO8MuwmTW
kQU1XvMdbPypcB5VPQ4hw+QifqVYqUN2aj8DxcjKK9RUR8iBFY55vBh4q3VIiP60pOkvbLT1pq5M
RK1W0D1gVwJSxj6oas86tzkxDkWk03ds9eOWRQF5W4P1VyeuytL7Ilg9+D3shwcYORIpKtl2D7ND
dXRpQLMgWZizZ5Gn1Uu6DNMPZQ8eLhT8OAhhyf4vuCEMB9FYV7UfnBb8axRP8IDSKsGpmnlYFypL
NHQjLdX8veisPpTBCEJAMrp59Nf6xCPZ5YkRkTsa576N4LAfO/OHSVqi3en6XceYznrk2ajuVDYP
14xMY4YTK7XfFEfKZZoCRI3ZnJ+sqDMPKJWOJrQwdo1ubve518NX2goJEth6h+U5k48z+BZSuCF7
tAgNo/sQCSWPmTd+F7XtHZmrHXsLjeTRUAuVdu8GYt7BFsvv0Riyu7VMwz+5yOFil0V5D/Q4c0FO
srDuWa3kvKWIalpvpDstIW1pITmv3LY4z+hb9m5NH5Y551vfg453ly46F1z9djK5Q/sEsN8Pu871
CMWSbCdNWeqE0gnjSaCJ2ZpUHZCMWxVnkCMw08bZUkPxwiF1HQzkI4ZPO3cB6uBXBhHV5RJuSYHO
fmjNeF3sBQFqZV5M9Gfbikzhy+hK51MXxIc3NSEAyOz8Td57T1rlR6PrExqV09M/JRncLoadX1dz
wWaEZ4yWHBIGLpnIH1iO5Sav8M3PVtLI6pgWFe5YH2WOAMc2zReEfDjYw3FXRqjX0+CMebrdLDyW
pNPfFPP5slxsRa4JpQDHqEQxWPt0idrVuq88s0jKViDulEu6lVl0k1qgdvEGseAFisgYcIfiXYZN
/8vqIFV1OKgLNU4pWDeMKl5B6R5Wwy+z2If2+xvZS3fPp5ajyCVNixz89dUmY/aEHAiaz8qD8Sqd
qX0OswELX2uSP7IiwhLu+rJO1jloFGqSdmLXslBMrLV2z9WUfkDV44PJjHkPek5YebeWNmxmWWHb
XRlO26A8Zg0xW1KyceZOYLO6a/86mJiDJwYV3L463UaNuQz7XBLDZAhr/AGkFfdO3s37GcJ0L1w7
JMJ9IVKIAO0z9WakEjiZuvcNC1beDafgWU7+eK4g3Bkn5+B3UOfTTqHoimcGy9jH43xqVV/vF7dD
H+qu/rdhjRmZVKL+UI7tbVEvlyeZuwzTyowYciv/HU2XjQeC1ANYK3/nLnbaoqunO5CeAOve7XAL
WHbXocuOwsOy+MPrLVhvNxpO+LuZm+HS9Ev0MNsDHfWyyl8CVrg/5uygI1aVRnjXWWYyuLo8eaHw
7kgJx6tdN828r/PS+TQ5tpKl4rxSyyKDmKpslo58cLeyNKtPB13PLqtTxKgUk1zYO+rEKjLS1IRO
fxMLazyCazqEo9vRtZSD81iBziJ5cLpDnRp+svre0mz8oTrBl3yKlnSG1hi9pJl1/qfMZPiA3nt5
cjzFB6nuDEDUYnK+sChk8ex06VHoogIkMeUzikxkV1XFNyQGubXKpbuEHelp+RpkyCVdsulyg1K4
FrXMlkxFd5umeLuEGckHdNjYKOWqbRKbXESEOYSi2CKw7+Ky7YjozPPWAoVb1h1kZnUXkIrAgWJN
32Nqk1kOc5Q4cI0Y9PAclLbbXSJ/Mg/l3BvnwlnyxPZbM8FVqs/LmukjWDJyuduI2jjuehj8fv01
g8VyjMn2ab0hy2O3zElvlvIFyzL67DDbs4eX51zrcAMU5eyXGpFK1BDpx5A5ITEyRl4RsQ2DIYhJ
DPZPwf9g70yW4zbWrfsqDs+hSPSJwZ1US1axJ0WKmiDYCYm+TXRvc5/lf7F/gbKPadlXJ3yHN87E
A8lUsaoAZOb+9l67qlAQi7IDkTT6n6dmJt2Rq2hXZE50NuZMxtH3UsymLHenVj6SeuwiO3oYp0Te
eoZB8scluLArgSldRpWKLzDzD8MKCpJ1SvdG+Rv09z/jol+pR2VC8z8H0IB+ziUZtI+jou8/8/uc
yPtEQoyYGCuT8KnO/IP6CciHoJcDKXmJq7nvf/Vb9sz6ZDGlsjg0CgmY11sqQX8fExFmMyGwAssU
gHxMT/6TKZHzXnv7IXiGS0YScnNcJlg4FOwl5PYRx+sgWdYAYOpN5+X9vdJtinLM7eNYj/D2Oabo
UcSBuRnBqY9QfOoE5WOtCYmUX0WRYkBkGGOQjm+Mbkf+O2LJbJyBaCRPtviJLkv3gOzT2+dsFpiG
C4IT1aWnhtY8BkRRxyuD/Xt0OjamG2+qRWZIs7EyVgDih03S995NtygTpVMN6b5s226TNcNYhivt
yskn8lU36mtBksO4kYtc4oyRsRTDwFbYpS33wFEHk/hqlLrkH1n0GQzs3UlEyd8mTQuzevXRW1gq
jDm+iwUCO8Y4K47vGMvQ+cgBE7d/AU3Ncs4MZ/HHAQfmfN2nDXIXceHxbmbG3g10t1jVtDeqznSA
cCGrJTyA1XPv0Z9IShToZN+AClwsBhwbyrDBcJ2EvOMIsx4KYDTbClvBIgvai0LYvLsFqZkx7EOh
eX5ukNeZeRWxxvMzm447Y1/pW/II1FioQXf6JhdjlD2BjQ8hbCI0h+e45Ni0KRFa800y98TL8tGP
dkTUvPqQNz4TqAi3gXedSiwlb/XoaUg4Ph0yxNsswDPQ5iu8K3PVJM+j1ahgpy3O8Pcj+ZYgO8mY
DOWnbU5gF9cusTj6MbIe/HK6tmwPxx/GQzd25hdOVlUyv0593eMfKkmP9DsMXhpaSJyOnnVPJMdX
K6fgiAu6RLfqGaVIbllya+aJkXkMK2raMo4h32qzUwTOI//oR4iwiVflt+1cW6txyDFkc6VqPqHM
tfsbcvI2FUHQI/L9NErfZFKXhvX5kh4LaQOdNF7bIO3TFmZTbHjXBjdkuAz2sgbvsRn60NZIGifH
MqlboJM9tc0m/Q/N+NCORo3FPBHGY92C17wMvLl3H31T4gVinBNZZ27p2eNGpwaAvlXTDlZ7SlLG
A7inGovzGUZoa2C6hMUR707q2Zfs15AI10IaKa12yPNuUT2Ww8jZmRINVZxz7uockp8GtMMxqQBW
ruDa6K3jV+rOqAyoBDj6Ocz3lsja26SGB7if/VnXD36Um2IH0Y3fZYF7bLzc5HjIwZezZ4Gchw3O
UqV1EEWmsnVbB9i748LHb2zOS59KFAPA6NJ+cuD0FWz3NhUqZn1l0X93mTCUytnzDX5oP/WFNGLK
22gwGC7sYAxjWAG2H65rHYXrqOHQ3prluEkcj/wJHuXGHc/atELeJxWGODxY3iiuBrvChlgGhPFC
uQTfGhIfa3Ij7R7MbeJcuD6WKPzeY3eRDKI1Se1INzPWpjawCwO1M8QZmfrFpqXEzmYetpprh70V
rqjqvA3E177znoKo1v2l1ZAj2LljIPvNQJyR9jCSj4tgJOzNwCQSyx4BewieWhbNGS7HGFedadfd
eIWjFZ+eQEzGna4tk2kd3hqSR/ASqO3DvmyeRaov+5PW7H37vvQW8aBE1KFqhExJdFaaAX5ewVfC
NLuOkMLt3jDGr0GrangkVB+v4gymAx0FQ5j0T8Qt8mTXdEIWV0DOq+QqchtnxxiitS9RBoto5zES
RFYw+aV52FBsMF14Uds8zgUNeYc6a23vIZJOVR9F70/2CW5vEkhePqknu0w5+UxsuOMzwViKyzel
20fnm5ZD5rABMmbIOy+QXHvAMDzUZka3VoLATrmaPyKtNZk+OFllD1ec7Wx9qqKmLG5sYr35xTCR
8fmKWKFI88dDTCt6qvN+Ok3w/rqXVl2GXJ29mTN3cXh2rltsRCsKQeXbNPTZ49xnPns44wnOY7rQ
J9sTH8sbHQqFf+Ul7O5eUp9czINCWO9O6aKqsOC0AV/9CuUn6iL6UpIu3oyl3TUTfTpxfWtASVNf
WkimGakB+EDwJPCsk+WV0CRQwucsQhtpgpeUY0lCvI0KEEgNgUuybsiWKW7QTaRpzGZSzNDFYp6I
bTU/51A0GI9lATEQFxDleZvOEyJ8MlCLfIqWZtWP4+hapPLcsiqqazGN03kITeERDGrF+EjpoHlj
qb6VyvKo8ULQvfFLb9zDfj0CfL0jxd4Mp3pyZ/5Ht1eMQfqZb51ZakaAGKFtG5qTPs25m7geYUWI
dMDGVT/DphPGxqOda771cHci3+Nrja0TwrVy+kwjpshWQLgpCgBr0VD4U8tqGshxgRLbOoXu5mjV
5Qn7caY6JdiuMKj8Wx7qbfilIbJJpwPKlb9TDudJxM1yMFkCplEY3TYgNNPcJ51VkKmQOCH5Z71o
xpFRCtcGoaoD2LoAOxiYttsSzBBXRGGKpD1taUOAOO3rZLhIqRSA3LPglHdgeFM6gepRNnvtJfpL
oiRWf/wyuXkByMu+AceuE3yXGkCov2uEVV1WdALqF9r8Uvg3eNTSdeCARzpmvjdFx4ajVH7b13De
NoWOIg5tjM79exXxoD3B39rqtUQnPVbYMKLTaOqEy5kiK0/SGQHu1Gek34LewBVircwhYXvu5lPT
71TAl7ixMglNJ827V3D7YutYdfEweCPzxLR3zpPaLk5cyiIPgW1KEvqieI4D8lGjU9mIiuj7/Ws9
dRSfGp3wNBqebbK7KSSXRgl2FsBHkNfDt86363IPIY10zj7qG7Kd8aBWpUuuVG7wwzXevmqFnnax
Yc+L7BLUJhDEGj2AM2YdegSgkOvDgEBxpv1zB5euUW8n+jjGAwS3nj74we4lV5gx9D0nZH9ujyy3
8Q3sEtsAHKaYeszMzFw3uvQ95raYBS3Ed6sjsoULIGKwzl4lbHzK/N55d4Fe4HdW4hpp/r9oIvi/
CR/lvCF/anPbl/H/++8/H1y+/8hvJxfH/RQI33Sxuvuo3SxY/3K4UbVsLUcP/tjxcLMJ2PX/omZY
n2hHhRvxwf32+9GFGmZafGzUHrB3kEop2fkHCFK52Pb+BM3gZOWYNkY6fG5gOqzl7z9UiZi0aU70
9Xlr5SMqrNJ3V/fQjQXzP28IL8ZCj8HeDYpMr7wyTak0Hdr5G00/2C3bxTBOV01T7dkf6eg4vnvK
RZ9wn6Xwirq1JC7UrgvDm/PrGP+sfR29e9MNgbXkEIJjMkevXrvAKfe6Smo2w0RHtpa2Ef0zFfFE
MLudGzDEG8X4muiqg8+DMX5q5XRw5qRlWOCIlwShm9FKXmwlCsmJWvz1s0kBI53EXrcHXdmxPmPE
D8gObEYXOhJe6MWsT4aFqdni4Wc6gEA+vFv7+3ebP55hNic8yLH/M1kfKWKOLWPreZSbr6olK+Ah
pAcv4XuEwBmqodl679ECyEvEDIyImNkNDbRsa5L3KMJA7DfFXh1aZBToLiKwYPNY4riy5BjKtmR/
hB2SeEP6nnSYTA4m/nsAAs+aJF60xCJIarKTnL/HJdqF92TMS4zCMWBlbniAsVyUbjneJUvmIkV8
A9vxHsVwZgK5q2FJaHyvU0UXwihBotb1rtL3QAfpMqu47V172LMQGws0rLz2B584p4tyHXsPII0E
DhcvXPesa8SO8MnXo+W3T1S/fG5anq96Es0iz9RypUJlrMslh0KZgElikoQwoz0yBUb1wj6Jq24J
r1Bv+k3N6jR3uuvJ56JEPzdWrMegoLuL6j0Dk3sKiOIwVp+DpHn186RLj0xJEDXt3E7DNb1UwT54
j9dY71EbOylD+l/fIzhDmWY36j2Y4ywZnR5Gu7uq2Acf6jR4Mfhkox3nXII95pLxYUYSPTOgIPjT
2XVCCIjFrUwxcUw46bAncuJ7VVRY07GcPFsNB4LII62nwKdqVx2bzj/LYNNRauAUpyD17tolitQx
51tXHj765CbjOHccTPmNuBMAXpcgoJXta2T5tp6iNSmjzaDF3Vyax1aETyOdBZnh7lkkCLvU5Ybj
GwJ/KBk6xvjUpaqjdd+qM8nux3BSgnpmERV7HKyWu8NqExzrJZIlOUDmG45YF+QdSBzZ98zILjNj
oIkN6XhVvae7oN3FhFyxXK+MIkiuPHJgQWI/EbRlGhEy/r4xIu9h9BhQ750lQ+YX0v6WvQfLqMCL
uGhsb2dN9mOuTFwCxpJDY+NVvoL6I5w2Un7ImMoSLZI9LNMLyYi2v5VgXYkCaj+BYCJzksZ5bZzi
kSH4BqAP++2YAxUYrbYPhhs2TmF1xMWnnkvfBvFhQhlnmAF4uI3SvV0HDY0UpT/h4cG5R9WuzEnO
AyAX6jAYrTt3KKQO9MWml1NyMTkDQOSYU0BwDGt0Y7BzZsNGryKTCy+L4SjaKmiC3RCiQa9RSQnr
BcTfT+DZ2ru4BmVw2gYYHlRTOQf7Peeniykn9Je+JwDLohjvIiLE1dOwBAUxL4x3AGhID2rUjpSv
j76E9VCx9aDVY3EUFcQOiQPwp857GhE4+pJrIlTHoaxbEotlHC5eKJc5DZrpkmoso9GMTv3vccfk
PfuowB/Ve/c9E+k4TLBouUVYkXBjkVCTJUHJMKesL23G+YsBYolZftdQBNDEfA3AgCjWEFXMzAGq
ktC08bd1+7YJ2I4Ha7+S+U4YAOP6qkBmn2ixNwpvj/IVoXJp/dir7NIU+UOosqtqKM+yqHFXTTpc
KqtjLzUDYBxErKgwH1+8EE2l1rPBRsupQV3WsFuE+Sadqd+DWnF3bhnOu9Gj2FDgsVjB+492hL0Z
6jTWVUVJ8KhcwPNYOCB1dIx9icdflRjd9tQ9dtsJdwan75HZe6P3MsmX9gQaLhp0gA2PfpdcEHer
ajp0iRCSMn0M/gUWW8kUJYPwWcfhPosVx4LUIQNNcO3MjKFjRGFwbSoqJkZHU93AL0HJR/6FVg0b
ihG56TiXw5Y5u97PgRrO5mEa99LOrb12p6dkqO/rwozWQ+hdtKbvrepJ4DWJBnGbkhVFFFI40qvP
RZmJA8yO+cT2mNCAmePJS6vgznMh53mCqlsI3uNacZ3vzFZ+M7U8CpsIRM2vsjYT2/46R6hiPOrY
bs6GufEqlX+mcB48f8hbD70GH4rVFExGtLiuKiPZSTLJ2znGsKWMl4iVIVuFHtRnpMwL5Vhf8bvP
xO1DeWw86VO2YbsXLbGWY5wLzagU9P9A3c/a95L8xLEXK30ax+0tXN7kSveO9UJCNrmP/L5EGUCu
bLYc9JwbEj3uicqt8eL9foAG6g3bnkzvo5MakC99UzQ7M9ceyBmiLyd4q/Iv4LqZz4rRLQru57nb
6aGD1RTiv31MVN0ds2Si1HbAlc/EFh/krelFxT15nfxL0zdiHVZN/ijcHiFGjqNEBTLsa9YPULZK
dfUb11A2HFAUAUqUQt/bIGZf+66efBKa2VA+OTx3uWTN6FqZs3ll4cQnY0v745b2kmIp9xW0xM7z
G5NpcSXhWRxcqzYWC7hx7rHRIrQdVdXtsrNPabul6ehAFzuCj0idpVc7pGCOBuuGwWnuOZ08TLlF
G4jdjK/eZKVXMDxC/dmoyQZiWVdZZGwxsXqbeKZoZzt1cJ+JjEWltRzJhbORiYpvwznm6o11RxZv
LE5rG+UO1EcubkahzWcQyxkNObO10YVm0OgOOv9MGtD0N609dbe5Ckjc9l5lI0g3UX1S6wyyaIOH
D5azNB+RqXKeYFEGTT0g7uWHeXNB/TsOo5nW7OvRbupnwcOu4aEzdQm/Zz91u57ynes+TkvGka7I
N5M/ush9Mf3ug0PNNwyfVjynfh9neMtxLVA8a9HPvv7eLV72NAUwA4Seghcjil4xJLNvQk8gigoC
FT2VolDz0BjZAl/ueS5DAY/xpSFhUoBkbXwKlDGO5n4eX2fW/OK26svs4tHuHX3I+uwkVDOfGfZR
Ev0p028GG+GTQ7hzgxH36In5ylbsqoQEre4Pz2CwIInXbIC5saZkwz5nyzJ2od0ZpRaIPc92Uvk8
abGB4uruk0VB48TBTZNy2e9KYSOCSQPLtyxbdjQlw2v2AnigsF6QEc0OwHbwKy2ebIfFHuWvIMsN
zFpO2IqGdrQ3Zb2YxdkrrOidAZXDdh7VGD4C9zbhVIPWl2EuEN50oPt5HSBojmvDcog6SDcnlp9C
YD5TJAeS+yaN/PoafkZX3yYyIZHmUcqzGW1J+NB28VOtpsFC6lnlGgRxsQ/xOdFG70A8cFF4gNrk
5Wui2mpdy2Rb1PQw56X2H3SU++Wq9om0XRlE+jgc2HaVngRWmZu03mMEw3IJWa/OW+MVXAAfxlTk
uDklKIByVyvk3g0R3+GVW+uIEl0fefg6lziTvavMGyz54nDGVkdEAf1Am1K1b/uye2K249U7xH2b
ml9wr5eKxebRakP3As2FAbFdhheams6Qu7kqjUPl6FRtHdIC0XpmCBUuXFmpz2MTdwRDxCnPLlmk
yf4T62yh3kHydRE7KyKLKgAicTbE/TjvOzWJfosRsoYk5Ls8rCjugScbWNVNwkUBvcYd2mbfemqi
yQzvgrHLO8v+bOD03uN8jFdLSNu4SNARyVvUAN1HK6lazJCT7k/SER+BTxFM80wCpkTupuRokzB4
Hoh80Au3tYyxbdijzeUlhCwfJ0tut6heqZhOg86MSaRgScfSL0xRrqHROiy3FnLWVs32AGzGtav+
ovLnSm10O7GSRZCAWpvgaI7CMq8zzrgs+ezNIQiWlpwXSlZ1Iscc45KfkYNdh9BMULrDJbhhw4AH
BA91GiQ5OpnDBWiq/MRU+iahcjhbUXjQYdJBLFJnDBHkKXd4EX8r+zhyzyO6nrhuQ6/cJbFrccgg
ZFb7u0xOxY1jIK22vgWHAPfPEwTSh5Zr7Rr0oQlFPuSoORC64tBjDQkO6sV+wtb6aIY66IDIGyS8
eevJRvQmLC6D9ip3UDgLaFXLLum85iLnYQ+RnxLUym+rXRcUJ7mh541hjo+yLqhnjvo137HxyDHb
ftNATOLLkvtJXXO3A4X2DX/NoTc/ocHs2A60TuGy5UZJoqu5Lh9jt77DNG/vi8o/SMGMgzNdgGJk
JJvEIu1A/ypjmXHYZTCwCAfVuJtQmtAWrVWf6ZtiiHAQWthOIqoj1romBlYR3SZQimkyMJyVqsAZ
GE2g2fCNTXo9BfmRcsGDVeeY82U3snuMPJWv86ZgDOi8GW4UyEsu0B6QTxJE0Ya5LGd8l9mSWNVB
Yqyo8QWoXUVzqa9ZF8y1q5nqnoYpPeaQLkcfBh60G/dORWZxh1Q41xuyslnEealuy9Pk/Uk4uX1i
YaX1Eny/LPjyJLXn6BViZJuugatkYKYIFe4MYNRqR4UWGWD0OrbNg/AILQSKPfUwRePzwB+XK5kU
dnTTtKWyKbcv5N4fQ3689pZuiV6a2UlDBHAvpczNrWA1UVcdxT+YjOJcq6NDBl09xB2k/tiIT4Kc
NTmhX+yeL0tadz2QrXzjjTh7VzAG1a0pgiHFMJ6bD7XCHYszhaT8kO1jCvs2nXJMTnkIilloJp/z
jhD/BkmeByJXAc/tVkJfT8q2wATbM3DdSDjtzhPRgAgO1izV7QhcfBtxHhuxLfZdtuF/dl6cPjKQ
Ij0qBG5FoLrx3OAofjoMXkMWPY6X+lzpn+bvGf/3Qf9/TA+/WoRayaz+z66Hm7j8Zd88Fa9vv7yW
v1yUTff20QDx28//piPaNoYFkrISrc5xXeGDtv0tKWvLT660SN5B2H3/GzqGftcR+Sl6pCVyoe24
+CZ8fqPfdUTvE8KfB37BE44fEMO1/4mOiI75JxVRgr4kxxv4JtncwF1Kmz6qiGTZ26Zrva+6a0D7
GddeTNwcOBfIBVwTKxYqSK198m9qRH8I5zrvr8rnzE3r2EQglnqlD9oljqmaBd37OmrOQPIs77dW
GVJWycFk/vLhy7n6bub4pdD5VUmbfftfv1oeJpM/vUVYxdQGe8L2CHYivi5//+HFiIq5qXBYqpD0
JgNQehpjbMK6xWY6QIFgqib3IRx/qC2wQRLcCgo7UovAEK9VO6J/QIRTwWWAKqApW2vj6y61jM9D
0iIgzBEDhRV2xPChQoAz1zBwlbPycQnQQjh2KX06TLKSzdhwotlbuUaWYdwITcw1Kkuv9DyFD50f
DpjryOWeJlmn7ZUZDTn6QtnrU1kI74tdWhZGEJJm6kRGVvkNNzoP/KFpBnlPMakNRaTypVg5ftxe
e3bUFOCk4sXa6BTmHc3ZJFWDuR5B0plL04gjFKXjS/4G4L+cyRjXpmb8AB3AeYSejnjBNlLQopHk
5IupwdgYnPMuDKtA2LRkz7QuSCN72nhhPKIEMEynK8mQPvzyqK6jIz5A31xxaGVcrg1ncg8Drpoj
nneWMtlCoVoH8FouYtfkKisT+0JAvED8zecbp4q+wCVjju+3bIHWuVvYJDwI9hHKMAyMnxPSA02w
TQN7AE9AIRi6QLTYhOPMZsWATTFuTTOMmk0uQR7vKjE2tDSANxGMx3vbXZemqbubWebGXvRGaVw6
KvNfx3hIo32Bv1LvdBEISn8SorFH29FDeGozeWQzPsvySwmM6I1VdgSmAJrLQ/rGBcvXT+5q2/QF
do5W5v15EBCi2WTaCE67yo0pRqUEhaSV3RTpZYeEP68Ll7kT+6Qix/6nCozTZg3lfs/urao3NOgU
ycHIKHzczrMTdyA2RhUX13U/JADyzV69DAUwHOKjoqItRngYwxUYWz7CKUhPoKmQvg64xB7rnnn3
YvdlXBZM3cJW6ibgoIThLyivSe5gvYGLie3BOgSVnPnMeymGtTLj5Fs+RcigkmSQd6CTktIoH2ae
3mosD6cOW34gvqZo1R56d3enOBu4O7/u9THIlw4LPjV7AsZjGdCwLfY1ePYrZs3R3OGhYv96VZtD
9UTOp28YCnrMVWflG09E7bubkbnjfTlO6iVwc33WgYqM6UKgVGKzMJVLaMOF/wy9BnjjAF3kG8rn
dK34D67abFAdF4zlltsipP6HlDtG/bU5zdgKkgwoJaPrznIpAMkF7t62Ga7nLu1usigmj0LLTNUw
jmAD0LuKWGZnvGC4NTqcCsP40sf4Z1uwKlcZNMuO8YKj2ZPhPihJHSzfRZMN0wErCqBhE3sQPV5d
BOK7QdWjiwJvWbdyle/Yp7Swk5hODKdzIbz04xdsEf6VxmXT7dB4rKs67k3kjFgjC4WMC7ONxSDj
TTdtf4Ub1LR21KOSbAtKXXNsddJbZFLCKlQ/pJ/RAxv2SVh7HynLSKudDaPL2wYVmwfEbzMnJJCp
9jPHgAGjqZlQHjdm3LN0c1aFv2xGl8iLa0/fKO7EzNzF3bnbIdCs/HmOIFjRjX0l6CN5KJIxf5gz
wvR0loUASmpQb9ka+py0N0Lnptp31eg/ew69I9BonOFYh06eb+LSr0KOGUncnJYm/h+OnORC6WNi
qHAcpQM/LPb99OY/G5puOn1lQaQ/kV3Hzzc0bGYOT8Vb3JQ/7GWWH/19Jirgd5B0+Be94w/qh0OH
O2u6JWyEetvFCfPHXsYSnxYgGsqspGPApjHxj72MZX+yPYyX0gdMAp6dn/sHM1Fe/+NCTzwfFIn0
AhPLqW15S8f8x4V+0lWf8Kys1yAv3G2teniqlMTtP3w4f7Oh+GHu6ro+/7QpLMQ603It8cPcFV+n
hQLuzGsYloA7HZM4FkwgSBSkD37+Uj++IV7KX/Ys7M7YQdrm8vcfdi6ZxARm9awP9PAoYllFsctK
0A0/f5UfNmPLG/Idi01oIEESUEP/51eB0goNv6U4pYvUdNkwDTw0fYZUMFn5JbaW/LNkh3X18xf9
m0+R7gg2sI5wbccOlgL4D2+tnBq74Yg5ou6Rdu/NBvicQ0zA7Izs9OcvZf1Q1rm8waVbwmLDDFfG
W5A0H1+rmr1mDnwqzelsLIJ1nGbtZ9dljVq5k5byLPRZLmjxar8QPqNOTiKinBNnrQZ6btLWwPSR
UMSXTOG9C7AbrF+QIhHPDardpsaSfj21yiy2mjkPFMFmSd9WQo7fH1G0vEZv5d9ceMv38MGszNuw
OQo47NFRAF2uvT+/DUOnNB+Z1UhSd07J7uA2MUjmPcL/hIk04F47TBVoLxrjxu3PP8K/fls2n51w
FicExgX/h1OCgcl5AF9GfWQngVz2CMamFpdpqfX6H7+SJSzXo43EJkywOMY/fldR6+YdJSBsicaE
5K3Cy7uhdwPdHyfR289f66+3F7ZvrOa+h6GDi+OHCz/yxZiXFRwcfyRt1SG6Cxzbh5+/iLmAhn74
2gKee8sZxOZR9348+XClR+mEAj/rHjGMlY7QFxm9nBbRLJryQ6znEq0sJDkoEuecw1r2hjXK3Pyb
X+Kv9zi3GDx2UEhg27DO//ljnfDZRWXd9SQ4KoNA9izCo2vUepfbSXjiRmxv8jDythCEbIZGRkEQ
TgBUHpzR/morcsQCNeWklkV+VJDb61XHjO0MIgc2vp//rn/zrSxkFKw3Ludc2//hbDhCsvcS+rPX
Aj7AujZaBJhWWP/mE/m7V/FxsHNLycBx5Q/Pn2gAdQ2go1+PKmHHRlHS2i0Z2v/8vSz/yp+/e4cl
Ubqmb7Eu8hT688eeTjYVaYE9rONhGao6rbmJjQblrs3qTa7HcPfz1zP/9gWRrSyec9iCxA+XtFMa
SdH5Pjy4HnVoyTEm7jPOCxtzByHRG1P2YJtU69Y3YCFL58zkAoj3ntuP1ELgpHtq0mp+idogkpt6
KrLzuQvHeAmF0j3w818W+NhfPx4yGUshs1iebcuu4ePNLsbAT52RSR0U5Chf2wGSJy7Xur23p6Ik
0We2FiyrMluEejwHdwoOAqAAdyErpDqQD7ZSnD8SKjyevRZsDqaLWjwSrSb0PgEwHhhvJPqex5Zx
041B82BhVeIH6hayTKCdN7T0bGlaLIJ8F+YzQPpgMqlU5NLEv8ICBqY2DER2leqRiBNwrerRKCdJ
xJb55R3L46hwGJTioe6zIYWD3Me3hsjkDYAn3DS+6jCdhoAo6HYOp5umcwK16XTZPYwMBzp63BUn
ARDChsVUpXP2+Rw5dAz3fVft+xwz55opBJbD1iz6RwvCFD7TCQCwSCpWmzj13WlT1xb3IT0XFt30
rqy+oOm094iZDMscwhg06nidg/I9FPM50Auww5XN/1YPsPWYQOUDfSfhGB21m2SUHai51Q/BxOh6
6/lG8ugxQDLXDozze00WWWyKmKmu4Rj5N83Uw6AYThMubrpgvmfkBWuM0LmMNlnFE+2kaiJSWzPd
TROkEFVTIsGGwsL2DyQaFi4FuStQoPI6pY1j5iOM9GuDANyvxiBnLKkJVF5A2CQqEoDDeKx9BlsE
TmDTM6fuDcCetlblWYTX02Hh6ETC0aHySsKXTp7Fn8uwFrihmMIiRHQF/DQmQgHyKG2tK6BjiCRJ
aBJRFnZhHrpiFrS+Vv4IJDUbPGigzXQeOANSQIhOE63j2p1gyCbQZLZ9Y08vyvfxS4Acm8C0Y5BJ
NoQVOf31IySV9QDF5ZqHkd9cmBPJmxzLGM1Im96bpu6JE6sH9Sor8UasQMY17trNnHoAelSPHjUh
dWideU09noW6N5juDKz/hMHnGa4RybhsG5Pv6DdTjMzHZL4gI8gIGDG5ncPksyvmFtMxx6pgw0y4
bLkvkgVHmbjqmcXWZBojmNxzxZGK2YVtUOntQKsM1G6Pm62voUgS9mmeu9QdyNvCE/FWDEf8e90G
s3mmcXs/t6OLwaNNsls6S8zbcoZDsFFkuF7ZKlP2FDYMiLeWqeSFHGY8HSLr55KHbzTD2jXl6K/s
WQuYNIwEwVxE4kIwdoFE3mK32RmCKezKDxsuTpPeiGATkenD2QcQmaLFyQ2uqiKxO+QRZdO2FLVy
O3eAbsKluaeFFvwFGNH0aqGFc+U00/SU1w5yhWT8YKwx6wfZapayvM+yGBHfQvBDbELm3/axm42A
BHL6bfGoNwcAUrG4KKbWPpS9YOIE742gsgIxlWw07ZfXThJM6Y6HbnLdlhbizZphUH22fGPlDoO0
MC4mN0tjjJoDZQdGYIM+jYaJZKnL4NnlYqTZqCo92tZ51AH/BixHGZbKyDetEpeptMGk6HNOukSv
EP082By1qQQ7Vx4v6zwuysuRewL8i03pT1mVfAoRT/NsHcR+heXIcwycB3ON/Utn3QtVsotAhJOL
UlHu/asG7DfiBUPey/qdicS0PxcnNGT4w5oISzCiRDTxPQMbLOej787qkPdRdYJSi7xJHNaEJKCa
8TIBgosBtets7D5TVI7rbBz9W9ngvT8SCmcg00Guwt5A5VO44Vty2m0wa+/o1JrzgVmI/i7XYDzW
g0QJAEdaq4wkit9uIWAXgGGNJr8C1YsxNMirpAFPP4T3PKPbEf21ys41+tCTZXdtuZa4oG4n8vSg
CZwpuzd1zafEEBAKjWO6+bPifb8IjJWk21RbvtRsUutNxSFsl6iJanghveyrM405tVUqHfC0pkv2
faK3algHmnDROb41cEZm3E3NrqUBwKfOHICOhmlA+rkCyWEQRH6JTR1WOxjleYA21Ri0CONJVqu6
Xix3UWrIK3ReQ+4HBlB3dd8EC02jJ9bjsE0GVum4uISgAgRv0G8bYg6F9i6wls90PmZ9eUYwH2PX
zxftv+6bFtneDjgGsJ6L5TD/ccm2JkGRl9W1a2+Oo0NSGvNpOHbjv3mVvx512MFYWE6sZfYR/Lgz
pzQTmy5fIGVdcYEPo4Vqb1nJCUxRYytzdyA4P4JwCI12/v7S/5ls/bp8Zx++7M1T9/TLW4FEN108
5W//9evu7ZUuyeyXTYwvK37pPipB33/2dyHI/8QcZZkbcZ5Zdm/s234bajnyk8XoSvgc4ojcvIsJ
vw+1TPeTK/jjYJlpvWNj/xCCTJLCLlcT0zDfdSHDOv9ICFomdh833stgSS4Xj+c6sFahwP75MnWW
3HibIwWRrGXbkJpYRF7G3krUkWTGUL9WqPQ+VeL+HufLWSjd/VxaO9Nuj3nETIYe7IQhTQXf+LHx
aTt1xKmI5DGvKf8ryxsaQMAGxtsh7h7Ay700Y8lpXBo8Daq3Vib/n73zWI5bybbov/QcHXAJM0Wh
qlj0FCVR1AQhC+9NAvid9ynvx96CbhsWWM0K9vhFR9+BblxlAUhz8px91r7MA2orSv4gK7fG+rfY
IEX1Fd3aoZFpfLwSdpUhdtSNn5HV7qcg+hzP9V4Ozj2M9+suHNINe4lf9u59X4mHiA7Apfl0kPm+
CCi+u41ybY04negx4kW8HKxY/SXS4DEEtFM4QK0Qd+073X2WtbafEu0SoMUvozcf6Wm57URCfszc
tzbeR+l0geQax63xoOkt1fXg0q4z12vxLSmM6jkywYzEIrjkzVyiTd9Nv2R101kfwZptATVuqv5z
RsGsV0p4QHOzL+rEw3Fsk9Kh7Lj5BTz9PQiO2yZEtGQZ6Y60y6dCja4CEE1+jz+fiT6Ya2nCLdmM
vhrU4KzFJSD1TQTSCgHeUrKDJLlRcQkvlEU/+3uaPs0JNAFMztFIHkJYXE2rk5uZLm2TNqEuOmBA
5lnYPpXzNzy1PUI8rx9KKhXiIaQ2QlhsYE6NzxF9ign7/+XSK6Gi8KDg0cinMB53sSj3DZ/TRrm4
iEts+tqQaE3BZhxubGx9LQN9lurnPGtPfSbBQVkdjH2lNxc0MG6K+rmRl80ot1gn99NPzD4g1H3o
o89R9zilv5W2A1XQ7GzjK6VGL13qPB8o9NWdewE1ap9awaUF8WdUkq3F8YAboruJ6vFRx7wTatJz
rdJerWowau1rEu03QwiTLAlwgBDRDiXnHfDaC1qvD6RBntKoug9n8WGK5UUs5Yaijh+7fMEu+ByE
ws+64ha1zk0QdnvNoByijq0/VH8UqAdW1AGX6F0cWQcnQ7o0NbeWOex7N9vhebiPQccECDdpSQBZ
56h3QNFv4pFGjjRlkqrOlXRRMQj9U6V3l2mJPG62aHELUTVMyF+ReWynyfgZO8kuEvg4DHODnn+8
zuFN1K66p0UMyFdQc9LBkshAVmYIKuEu7U1qXxyJuONxMexy/cKR0Zc61m9CPIoCDZ/7rKS1JMuj
va7xEt0s8pF8c0Pqv4SyfzI6bCO7DK9RdoIPTUSRMazcLe5+V5NKi0wSsArjp6nW7cPo9gd8837U
Ucs0b60t/uLf9FrSW96kgORbKPUIzksflcwjwrkfpaCRIMMQKomgEyryM3I3FJX4h5ToTM0e2kod
moH95MqhxiUMqhO6IKfWu68KFBDsJGZ54dCqvaeB84c7dC1ARVntHILWQ4Gem4DP+lEFgAh0dUhu
89r5Wczpx1Hq1E1r9PE97ma+2XMrUuoYlw6z8Ci/5XQ+DPEukN3wIanmj3nJA/VpfTUC0/NQiKJP
iT6zA+24v+E8bVyEVuoL94shHsrPKXgayl1e52Bqg27X1mNabSe2ALHo2Ltyp+CbkYfttuUBGzO7
x59t1+YWZH1X+50OXXKgtHQY4nmLuyF1xrSmFz+4CEfOdancSF1sYwVdo9Gp1L0VvKjdx0bRrjC/
aL0+Ma+ERO+tSTTM8QjGLWqfbb28wazkJu6gEgNFnmixLov5t2tU1UZJBp3ri+XDgdhxyftZoN+r
hHtAF4FdZ3FvYdZOk3HxiIz9Apuxg5M3oMmCPda9T1nn7lBYAcfVoPyoF1qGa6eV3rZ2D8G/aTa5
MupsDOVF1Jv7wa4u5mkGe6I5P5Kpu9bCHHSy853rxUMYpzfYbT+MCR5mlPhxLHsW9F5s3cywtlYY
3UGnzLyyMtxtnqL9FESYGppj1b0pGjEb1OiVR9vOb8RcmX+lrP4//vkbIYn5ZgB08w1ZT/S//3Nc
A/vrv/pn6KOBLSExTbKKfLjxp/nv36HPEroQHFPHWjQ/jPWv0IfoZimc0TNIGhhjbeKVf+p5NPXv
VCYs4DYOOjHMF933hD6ryJlkpkaWnrZAtEUU3dQl5fYi26wnHb+c1ec1yQJ6dWAhfKnnKedwrALz
vk4HsBkplzZKthmuSWcCd21Va1nGF9R1qO1o1Ppe1eAMXUlNnBpLb7LaezRRKdhNN6XS32Sab7aR
eEwNPB1pUZCcfHoQcDtS2rb+FDUorb0X8ev9a+3PiZeBfltzOGxcbVEbrV5GRqA711xk0xrJMbXu
7ru0JsXHvtn1silIb1rnMyn/6EzOfxV9/vUSHJ1yJuQbSjXLv3/xEdTczQQNItCxJzMrqashMN67
g4Z95NsPuKrL/BkIaAezissYQfUq3ZsXRRL0tNmDd+iDTwPgSroCNDe46kgk2fv3D8ZWiPJ2mfdU
eY+fqjMRICkdLi8zSd1LqOL9LWh/hTRWKT++PdQqjb08F0uCYUjMo3BzV7dMLTDFZBc8l42z6M+k
06ZPTmcP+5QUxkWSgId5e7wT79GirgUECHqDQ5Xt+NEyE8+1fkKRaZW24ysR4QRtT72Hqtl8/ydz
TGrybBWWrfLxjoeKrbwK2y7B7G0yuZmYY0/IIubCIPgu2sJ/+8GWGf6iALG8SMfkHkYBmfI617Lj
0eint0BuKYWnkb/aBOUSsyj1SFI5cFr9JxkKjF3JcVh/tZb/x1rlqXG57Kn0OdPkJJxV4aPvJAYS
hs24smh7bwRndkvugLxwEUefKDyUwOoj5e7tpz3xGemT5mpqs9ZtqjrHTzvYg5l3dO6i/kJxHRSs
ckyryo1to4V+e6gTM5Q2aoZgw2bLXhfNUcj3NpcxAsZ2Rgrfz/p+sgbnosc5wpdFqPxlSvMfX+ip
R3NgYlEXVbklL0ysl1sKifoQogOwMzytrYOu0L6T4x2Aei3OzszQE7sXpUrDUHmHS8P6qipD/UUn
Uw+3T0VedGs2yQymhsvE2y/w5CiUtAUWMpblWKslrtKYnVuC3aROMqwyKBdcoUeUN2+PcvK1Wchu
KSZyBBurPABGFmWDGT2jZGIEMUfH13RhJoufEN0Gan1mizw1K1CzmlTKuR6ZxurVqVhWNXTALROw
exy6+SEvyavi5ZwjBEvqMx/q1Ggw0lC0wjDTDWd5xS+OmapoE8vAnBBIOmXrIm6MXUsHz0Edx+pq
lnN/5ulOfDJ2ZIgD3DOXMZdF/2K81NYrOZKK9+RQVT3aPBWSYFhqQXLmwU58NYYw0C2R+uNlrl7j
WCGq6WLW8YiCNAfV7/a+nZLEBlQTNI9vT5ETb5GXSJaISYgWW6y2yGDUxgKDycKz6CLAKkHlklU0
JqneABtG0PKDGb1/d+TERvCkm0SKRITHL3IuHaqGIw7lCShgrP3oq9BRM3JR4pYTkCQZR036bz/m
qXe61IRdBqWKspZcR5hxVLnCzc9us0udxsFtlhtkxkyyXW+PdGLv5/j+90irF2pVKgpnixfq0uVN
ay2tqp/Zr7nf0EAGenY0XGzOZ72wnDPz5tTIFJLReBOmkJ9e7Sl51zjIF3EJ6cYZ/+xJKPczNB6/
Fm29VcYlM0Tb79P7H9dG4e8sKwMl0+pxm9yV+HQb8Ekl7zN2s/RTPlmfIqtodqpVGzs4ueaZMZfj
c3Ws8wkJsPXlroFU4ngCtc7MXR39MCDwmh7zqECrO2ZPpBGTH3Ao8q8ChKwvFLU56BIc/NtPvPzt
x6MDOGGhoNFAC8hKPR5dNUsbJ+248Hpgvg+9TmIsi5rwGwCp/mZ2FOSbQd0u7L0zh+DrDYiBuTwJ
wTGIIG61m2OY4MZwDgpsBgrjbunPwVAi0R/efrzXGwKSDZwGEaFwDCKIO368wS76OIYDRxmuj76G
czRQsIfvUezwd6y/TpnQf7494usXyoiujpoAzcai8zoeMaJnO1JpnfTQPuVg+W2t/ziRfYZTl5q4
5aDGgBmsAsTrpRH3Z3aGU6MvAT17H3o8TpLj0VG+q7FGidRTqyrKaJOtUBtIgbX8xpXkK7y4CGbp
YyhMx6asFe3X20//emfC9o2JzIGJTIp/HI9v1TFiAvwvF4G1ceD/39LKlHsdbNXu3SM5lkUUIJYB
uZsdj8Q1Aj57xoGJtaBd+ONEYEeE2nZiaw1iis682NerlBoJNwpCRAoaKFKPh8NyNU3GDkSGpWf1
T84SP5XktLU00LZdV5T7EPet50ra1dJMan5++2GX13a8ShndoouIONwGOLS6aHS9ZaU95UfKxk1y
hRxCxcKk0N+9JJdRyGlw+VRdZKTHz8gKceLUXTolpeLC/DRvBwdHkf/iUagIsurR6r1CHbWmaQEl
YRBLztU9XLkApQQendGZje3EykfbiL6RVA2tMmv1FChbkeO6ijwfZqyP/1yyd7U8PDSuPV46NKe+
OzrFa4zbpsMHAl62Hq+lo6+sl0+kKNAlMAHIbkU4UCoIR/P+7Vd4ai4SZKs65VvuR+vINMdXmqsX
KBXblu1BTTD/JK+Q+/oks0PVNuolZjriQTQJBR8bn6u3hz+xx3BOcHVxLBq0xHqPQe0w0BBMHI7I
CKFTDVrt3sTbw4HvYDcfdV0RsP/MuP6INe7UnHn413EBmxtetETkRMnWWrJNkbriN2U0dtDE+8zH
iC2Mb1iMmx79TEv7UJp+gMmOm+3bj31ia2Ngl/ojWnGde87x6uhgY9ThwH1g0mAwKPzCw4C12BfN
7tPHt4fiRr9a8FxC4SlT9aRivhwkq9MRY5C0pzcHXYdb6ymag1p862aT3hIcr/LUE3JUu2086bW+
t5CrXpVq0dc3Med5s6Mp1Q73Cv7cv0f2sme7c8piAxuknHexXju/iqmaik3CXwLTAyzTIQuXG82Q
Rw1WPmplws1vsTOMOd+WOkycBRtblQB55nGYNrB0kcooOEfY25zYBmOyIRK/2zlBhdNrFeaITsuv
oU5r234zaKLyUkhFP5FTgTtG8DU6yPYkJTVoS/y1NASP32orzn4g2moRvyESXXrmR9QPOVZXmaf1
3JkwpzeVyU9DR15H+RjbV5qthjW2AVhe7gAlzXskZJnYZIqZmRSKVT3cAo2psLWkP9obpiZEMDLr
aC94zO9dRwjIPpTlGGL2Nu51kwtKWKHlGudQuti/IrmkeJoSX+RoQKbkUs0mkC6m2xXXs1VYt8bi
/rCF2lsL0KGBhqrQmvWbCI7YYvHcCZeMYaftIuRxgT/WyNw8B/UuBnRm312qnaDnCS3USOFzCuUD
jitqRzmyr2dvdLJCh7U+0pps62n5XXUqiJH47uRITQh+u02kV5AaNQ2rCE/HSOYhswdbbHFaS1tP
g2RS+TJGMrShvVH90E+uzSXP7buHCAK+utEnvbuKK8L/xUmUDaXOtf62zgy98lvMSMeNpAX8Yw4b
g2oLGsX7EIbNl6a0uycTIhXEsj5ORjozFviZEQXaj2SIpPCHAbbE1hEjGlBILFhNwyZuxh1c3cDd
4tuS3g+WBuKHjqw+9cy2srDXGgP6veY8TVs/smlk8ketGCf4rJhfehB6wXjgrcn8MOtGhJtEn5Xn
qEzpXQzDQsNccy5mxcPkwzK8Iocpv6njau63BK8UpMt4iJ9qmLd4kUz5rPiOnfV4do0V+Dszq50H
ZGQRXPxeqb8GFYl3rOHb+TY1aVHZ6DSG9p4ubUGTmRu4H3O3jXFzGYQJ6wjxlQG1T6mvnAkEHObN
Lh6JVGZrGliauM83bTO1H6FrDzbQm7H/AbCqdnwD75+vc25HH5kNvAYgIpBPEnX8gmYBFlDotK6+
cevR1A9pbgTATKJB13wYRE37TSIekL/nKaL5UlhC0sHflCp4YduQlY8pIQ15Q9Fq6pfcDKZvbdUU
oVfC0a9uhx5bpg8VuNZ0X4i5XbjULfcetKtpBA0iKJu9tKVGSh2mneKXmRVkl3U+TuPFIKoYkyE9
ppNLzotMExBXO30JEdPd07gHcQ9ECMg5mLcpLbGN6jzJpS9maw45PWSzhY3fhULGTfXUubHvDHsS
1l2X0NpaVxFkGBFlZXQRCKk3ftOD6r5xoB1lX8KBquUW06GovKdJ1FV92jjrn93YYYuiJnPGNUZx
euNXzSxCCJCJYMIa2CErO/bRVEBQBMXnJehz8WAxtfbbxJ/Lu4COuPwuqDJwCoVRGB0FRhFgdeUV
gs7Lx96isxM4kDSzQ8IOaHsZ+xRykyKLb8YObTIeIWlBnVNYWbePR9NEO4p6+UlBWRx4LhIakBhM
8PoyhE/S7YEswMzAwg7qk5LWyl0nugHz92WSQm+g0n4LShiWXZ8oCItn1YpCv5knavupSx4dQUep
3ddVVcMVage5T5q46zaGrUTXQ14a0c5AKaxcZVFex8/U2ZPo1uXCPvMfJk611RppGxecldAQZOdq
8q4PYPp+q3thGFtHja14I3OzKFHdJT09nslk/Q6gpsILjNvFhjzt8eGiajXaDwXg2/YKI40MgCVm
ZPaud3X524T311wU+ZDbfjoF6MzaLFgsUVQt+YH4rYqBC6qwmgimKmeTuQXICUpAUkU8rVQ2iKxg
wflX1aRcxLhDfNDxrw88HZ+uclM33Am8bliMdUQ1qIijg65GNpnpQ0aTqpuD3qD+4R5gHefPdl4I
9oak7glTurLJ9uOkD53fweJ4KhQyfdCgeaRN0Ar1O2cs4tq4n6pDgx/pXopAU7zUcpNfU2tPT1Yo
wxsLeuSdS//jDqPF9E7LEKAerJz23E2BczwbWjbp867F37bb5H0ydLd2LtvmUJhTQkt+W4yCTAbK
7N2Ip+OwAUkNpH4SRV34Fe1icqep0NT9eWJ33jRDYpYHogGaXMYmc+ONLnIxbTND0/LbXB1y+Cs9
BygdmLFjby2zmy9lO6TphT12UgE0ZSz/MlDCDBJFDEevw2yFA1pJjWBb5kqT0Nw6xtlTZpeGs+8d
q4KcPjo0OGupohHv1BkV+gKiTrgpOYzkhvVKZwkgj6o+kOMwHyVeZPbWjC3UlHiLzMA2XLVGkSwY
bNO59HdBCIuNe6GyDVy1UxEIHzxmD/hf0LXqNVQQca8mwthUaOoTULo1twUN8P6vIFG0G8uuMpvb
Nb8OLk5Y3Gusi+Y66sbsrm3DEPZIGVfg3MOaY2wY1azacg7TrTxNAbEUJLvqqUxU/YFecsKMSInb
D9IAM4R5gQDNjT0pnrxxGBpYfqNm/U39w249A85f7BPehPSIO0YWPeZNW+yTzsKhKXHNjHZ9rR4f
zKHN0t2gVGrqDZEe2xtl6Ge6CXAevgb8qWqktGT4OzLt6Fsyqhw5JgsLJHieUdrIQqcptmxdgiYO
tnZARZQ4+z1ncIIbUx5nCHAt684WFYiFauh6Wv5F5X5NWZ4USmALfnailh48IxxoeLC6Wt5XCYlJ
2PrdeB0yr1ApVEgJvdwJxL3UZ3EdV3r6RfbS/g63SKCXjvvomdkL/S4WTnE5QofirBR9nW6IShAf
x7My5RsHzqOBD0Rd3kqtcW+tcekq576efW2qXPK+uqb9AWWM7gMCWptU4WAVm9GeMTbDgAwi+Zhm
w+9hyppPRdUXgCsb8zLWjaBFmZF1UBGUcTA3YaWEP6JyQmwjKxbNTm8CEPkJkimUExBesK0jzdvG
AZ3mTdhJy88JIqZrQzPiQ59jEuZXE+41nl4AQSDeKZhbVWbVH1ta2YcLvIhAE7gt+z3969y2b8fZ
joi8AJRh8tlD74BVljbDQeRhUROGRTXBWFGhv1fmBIWNDnUP5rUHjb0AUKEOAYjZlpfu0cTHXMJA
O9/rINCNbVBFmHhIyvjVhuou1xYFDFayxbCX0BNfTsBM5HezD3Mzt/yxOugzgAubPZuSUfOlddi5
fdTIWPUp2MMZOweK4OwLtVFdPxsIGDgzhuSb0kSLtweiLfT0DqYdJBh7/lr6T50Lu0wU19PdDM8h
U5vN36GEpbaVeWBpt7oBxZYYnDbFTThFi0mgBoICGluE2EuZRjpHlLngbx8Kmn08Nogx3tscfZ+6
VnPnbd0QdOClG5XGhYYluAkGtSPKKesYOJgVDKN7IbIaVolbNsHnyHSUGomTmX8qpwGZPgfUrFzl
WE8JHzxy/SFo7Qh7eQXXio1ZLKgkzgq03F2rF5U/Upi6nurCrFBURRW9FVZjqxvHHOkzqLW5A6Em
nNq5dNzY+UV8x4obAp14vFPd6qPCjavzGsquGDVEZOtQJ8aPxhxb9QJxa/G6HlzTU2Ibyk/StXgd
NC2tQ9D/ovk33gTuYopqtFunHI0PaTvMN3Ofyc9TJaqJ3UvJL5w5D6ECdbCYN1a+uEEnAdZe+QAF
8TBooXuFRTA/woJL9NtR2wpvPcxSx42gZRPUa6NQ9uXU5IIAKwjnPcUlCUncLyY+KyHoT4GJ5sCW
l8awqOxgwuDCHBMaoLoceFJhZ6DjAA8sbi1Oy5+UmZBYR8cL/3KQsIzToqbLiHwqUyzgl2/peIws
v+xGGKiVmOKLcraQX6VSpTtGSsxrN0x+49lpaLvzTDY9/m4lynVP1+ZwoeD1BXewEe9yKRMIedhw
MqFxV4D3lygL06no+/G7ikM1pD83Yio3OJJz6VI4cQgkTflRzpD+7w0nFPlF6dJGygeYoNpZPWi5
okDo6du0c3TseJFlczto5a9mgXXJzOUHojHlpjIEC0S60P+ABvM2uEuALH5Sx4KbCygZUM1ErhA4
JH0wA0f3yPMYIUYCyD7rjIxCLX8l6vIeSzFG3ZZeFihUMrIyc5OYDRcd4qroAS7grBHtYyLj0bwr
f6k4IbNDOJk2HcpcquEB/3NGMGYaxzh7W/e6yWVuX8PG5XGIc93rhG2g46SWAKPjDGXOdulTYR12
Ugw7I5+d3RCO9eTrLX7Hb+ceVtkdE9EE/bMIv02mNVXx5d+/KAyKQDZdZdg5Cw05I5grDIAu1DCo
eOsB5gIolbiLmRgJjBmdpm8P/idr+yLR+dfoS2HA/CMVMVcpyEKtLUHmuiBfMNXRttECCOK5W4zb
VFd/xxX/pddZYta8xiabrXVwpVM4dxBrBq48tdV9OfOLVqnXV79olWe2zCCoG9iKEIdMha15Cn1u
ZjpBuvO5rjKgkXgqcuksw23G5/GLxJn2RYHDgy7DgFYi0TwpBhP67d+1ykb99bNcQQZusd2iFfj4
M9UAy4iZEtLfOfdjtIoQhwIOAqqAbWmVZ1J+q2Tqn9EWqhQ1IpBa8PKPR6ukWchUw0RkSoTz3Yxt
oqlA5hJm2ijG70Fa6mfSt6emIW6MiP7JSFNdXU3DIgjaMgW5w2ou9HsLRwevDzRnG2KeeJgG1d1X
RdRvSsM6oztZJVd5VJNEO83EzEBMWNxVms8p4V6rBeW4ZpjKyC/xgXFvWYnjnVvnyGJlMHPa1Xh8
VZ9ys9GHwxC1XX3m875+/ONfsfq82AmKjM5I7rMF5mEkdqebCWHT1QKH2jVj3WFcUtcfXJydz6Q5
X893RkbgSAeHzWVrLUNrJwGphWZQcgm2ym010e8WmuaZKsDrCcUoNI9Am6At/FWVjKFjw61Z54bU
ukuhcYCD77sEwSMf4YvYZ2bT649KgZNphCjTpmTuLKvpxabG3ivc2uChZmSlXxW6dxdxdL+3U4lt
m5JRrlPQzHui6xFC99r+vYuVAiR7GgQ4fanirHY1xyRhlCssH1wokRCOQUtDCNsCKPSLt0c69fV4
UpPcx6LrWKstJOIR2Jgh+2fTc9y1RmniIVuN9IK8PdCpD0i8riGaIwsPc+T4jVZuCukopm4c0GCJ
DXWotZg5Ael3bIU7epPa9u1/MaKBUlel/EYt1zgeUVPnpOYWXXjYvssfwUSvpwvpKvYEsPb7BjPw
M8qOk49ooj1jPDYhY3nXLyaNBP80p6C5vK6PBFTzqJ0vE7o0aeSRoLThip8pbZz6eIgIqcOj+6Wu
snqnuAfLOh8YcIauS6AIZksfx/rMl3t9crCtqa5ATUjk8AoRY5XkTidn+XLa4D7QRF4bmzEMbQza
szzLz2xkq0LGn+0U90MmIxXx14oKuv+yHh0VUx/V/LcYvjHZsZQb0VxdOy1GbR7h2fD57alyYvdk
59IMmg4RLUILPP5ylqUgBKpLdhcXT+OicmIaXCZY3LiM1Vng3KZlLK5VNY6/vz3wiaddtkzAKotk
xjBW5ySWrhO5SEQNZTqoX9ppoAfXTIP4jsmjfSfuomMZt4AhOLPsT0xVG4my4aIiYXR39cDkYsvI
oYGWmLF3nnUNUAJxiTZcNDO5uhDH3e37H/TlgKu14U5BuGBZqfOHeaZCHE4xQA/po3C3WjcFP1IN
4qIXaT1/8PbIJxYJW7iOMo9aK994eRUvVmUr3U7A9kMuYyjIYiSddxgOq+9fJDCa0NrqTFq2m9WH
bKhN2F3Ph4SsNl7WXW9vJCkZnNbM/sw2c2LOILEymC8WWv9XSMs6U/VZipw5Q3HMVxrF2NOabmZe
nBj6Q1XGzZdUc8/Jb07sAn+K42gpUYFzLh6/RlEVvesOLJGYL+WrDV4RBfnWPcD0+cwWcOKLuQYb
ADIjJIBkI4+HSpoub/qZBwwy3Vx6/EZf1uKckOn1KIvkZFHvLrI4HJ2OR1EHUnJxjSZOqaP+LpVp
sbWjZDgTHZ4YhdhI43/snS46m+NRMEusSCS7BR1fTexVWiE2GARZ757jS2APMsf503mxfmPkBIeR
GwUdTRM1lLsmwTLJLxsFq9C3F9O6zsz2jBADKYFBwwHKj/Xz5DKlz03nepxA16S7L8+DhBwTJhvV
JkI9PNGbnQBOzyoBR1ol6HzSarZ6Lx2An1qc86L44aR6aXliDNhis1EREZlpgpRDJ7v4LkViZflv
/+wTX4HTREOFgDiXV7X61sZgmiHpfA5KqUJVXojXZTR+fXuQ13sqjCWXI4RMNJHwWvZOC5AmR+pz
ZDNFekmLG5qfMOsgPlWYbeEQHFbT89tDnngum2CQAFdABuPDHM+uuLBQT2XcPQyj4vIbOdWumsbx
zNs78WBgJAijoPXgerY+LCSNBKAawFyELqzMMovs6xwzPj8gTEQZFp4TVZ58KguUH9s2eq31bC4t
PRjSReCoTPrkqbml7VqioPevmWWL0TkHaTex/thDvzgXRo48WebcmKLaVmZPyZpwKZuj/jsTzL/e
rwWxILA79GDQptbBRSR1rAusMfcCo5j3AoPUr5mCUc+1onMVvw/KwdBIci7E+XfPDgeAIJ31WHI6
wBuPZwepadL6I2dun6nBvTNi+dkm6fTu/A/KFUDOwFloYkOaeTxKYEVdSCcSXBuaIXZRNrYbIxnk
IxF+fV1hu+ERdGMkAZw+P/NmT0xMQlLk9vjcakg3ljPrxSccYjWua3RtHkiT8Muii/ky967ZAkok
3elZKW2ku/e/U9aZw7LDPRzKxvGQNCwBpyg7tCFRhz+DMOl4rip5JrBf/pbjrBZaKfoFCc3InRB9
H49SVqMN4Kqn6pA5xZ6yKtINpIs2Kpgsy8WZlfA6+l1GQz+EiE9dZFrHo/UGAmZnQrGSOWTkE8tc
ik+xYuIbYyc0nYbTjaCet6fOM318/+uEcrn0ejkaArVl7bz4gnY8wH+yRE5FRFCYy21MDybNOnOb
PzVPQN8R3nN8GfRHHo9CzbCiN5FPlVuLv1ihKF+NsQAum5r1xahY7ZlT8sQGtkBNl0MAsimNocfj
zXOLf2CPgCgwS1BIndlV9BZHsdqeWeFrvuByHKOK5LpEqMQ/zdVEiccpDZLIyL1yDgbpNciLgIXh
GZ1dwNXOwFKm9uipg9E4ZIbK6kdDBzt8qxxN3pnfcuIlL0o3bm68Y43zaPXQemhY1YyecUJ2v6HQ
WQ3TLtFpwrZD0L5vz5s/Z8BqhUAPxe0JJyqNqvwqRhxzNwotlR5ul7WRb+OhU2/kmBl7ROLFReDA
I9biut1HmIPQYaHUCwJ+srWPBlHIOW7l6V9D7xkBnqVx+q9+TWJ12aBS8fSCeUbuhQQl/tMiY4oN
1sHdncgj5aDS4Y/aAFBUleUcOMPkIEFM1PeJcpcpsZwy//otq10/QqSdoP5d/BYxb6NnMtvIUD93
nzv1tU3wQijG0eZyJTj+2uWE86dtMkrY1dHGbNz2l9HU6c3QquHl0Grjmdl1YkkR5ljYh3CJE0Ry
x+OZ1qyWdOggYRXY2zTKjIR1yuWZd3di32WUpc2VCxYdzKs5PKKuzMaemwe6kfo5SKBiQNcLv9HW
fO7YPPlA3OIIGTmaaQg6fqAhwZKHajl5jspO/aChQtRgeXXmcD45Ct6obA7mn+DteBQR2kGl05SG
nCmMnV0xjmbvc3fDNO3tBXnqzTkcVnwjnoVd73ighrjbobGTgbAx3dFVkPh2OdgPFTaLj//NUIIr
KHufTeR2PFTeji0iHD5SNXbVHdbTCEpSB+Y+JXSZfPovBkNAzL2KVjSx3mfMnP4dC4Mnj663aNf3
4PcVJC8+Piz57u2hTn0rwhlOKZ32N3aR4+dabMysFlUYwbzIH1I1dm4tZzjXJnVq4YIJsJe8z5Jx
Wm0PRTZY1CiZdwWSWRXgm0zQCMXyc0TGa1f1Qeq//VinZgbJQ5Otgm5Frl/Hj2V0URTCp+GIL7Ed
SOZc/dQkCBhy7CLPfKzXz8bFizCbTIxNbkSs3yC9b1mbo7IYS9y1oqB+KB2Yfd1sXahNPJx5sBOj
OQDKaBMCfs4yXo/WG/B78CtAW61Yl2HuKh+RLiVbkljzfVBHwZmg8PX8sJZUnVjOerbcNYc5pp/M
1JQSDYldh8+VNqPHMXT54e3PdXIUSg4sY5Ij5nqjVZTBGkEV0rNahek3OLLNbZRH6bsjMr4PAfsy
C7mFreGvZOXnsHJQbxU4idzj1GFX4FWT+tLMpfUECzD7/e7HYgrSqKLTOEfn9vLYLwJNw8oa5KfE
7XTeE1Hn+s+4sN/ZAczRS9Busi1x17JoqFrt6boC068AkO2BfzTotQyw4yyQ5WwaGrg7T+WbnXmP
r78W+zqietIONHHZ2mpx1Ri/iWmgvjhldX9tz0lwo/bSkO/e3WmopymXKsqyu6/p45ikaAMWACC5
ja4ES5P/miGReo2VBO99IAt9FUnUpW2Jnol1S1Gozo3Sq3WFB8oUP+elUm3TLjqX73/12hiFRYta
gWOJqGL12jIuAzH+dxXoRViJ+Fsa0bUZi/zM6fs6PF/GQRxBCnDhWaw3WxtgRu3YjINdjQF4Fjyr
cSUnnHBuhr7KFo9AV0m3ai2qcZ+gtnPvg4Acs1do9ftLfRwtCxmaQ5pT2rBX+5UKo7Q3lyRhaUvH
B0z9qzDU8L1Xn2UQ9BiIQog3KMcfr7OE0sFoRQyio7S+giU84NgTBn/1Tv0/p+hvzPlF4/KfDTse
vxWgGzfwG7Hn+vYS0/iP//SfsCLn70twCbBouSDBweFW/w9YkcBhDEQRV30yuP9AOP4TVqSLvwMJ
pXpJUoc8JW1b/4YV6e7fWTNLxLpsblBM9PfAipY19vIGZy1sEIucA83TCH3X2SlYsrJt+z7HqMpc
dJlm8BENsHGBVnv48eIN3f/1l760AVsv9z9DAZ3kmNbI3Kx3SZHTxY84MfeFFTaLml/zlXZMd2+P
cvKBeDW8O85nbqfHUx93htCxSQ35EZqorVJo3Q6Louiy0eg1OzPUn77Y47fnUv/h4CQfzxde75MK
PDCcpNXJd8CNXE32BKtvVLLptuRgtW/MyEzzTVUgNt8YldE6/ozveQeaYuyaK7VzlzxIE8j5pyqR
yGMui6LdNTY4Y4+Q5HLDRnwdBUke3escJ+5mNEWyt0PToSN5Ckawb/QPpJ6iKmK8MM1RsQE8LXQ+
wxogfVci037pKKKfi1gOP7PQCGffxSVJ3dQWFYPNMOYz1tVh3oW+Ps40FwuQVYjIdFP53VhleVP2
GtR5EcUIohs96X8Rni9ymhLS9KZHiPg4WnYHElgK/VPhYOWq9eniThuQldmMc9DEm9nONQk/rk+k
n+t9XdM5moRPZq/LHrW+dGJfp+ur9ay+0GOfzfP/2DuPJbuVa9v+yovbxw140wW2K+8Nq4Mosorw
NoFMJL7+DVDSC7Gkexh67RuKOA3xHG6XyFy51pxj+nWy6gB2nmW608+BpOYZWg65UMk6yPbZszHB
MWT37R8TV55zx+irCFKFXb7z9+PZkNbclQkscCpsLshEHVMD5fZFhxPw2gxKYJ1BH3jv5LIDdS5t
i8xtLUPYlx1IwG0+gjmD/x9Ue5vJMEi4yreXoa6WBacYZCcGSSvBvUU4zuGpMPylutRiiPLED0Zh
1nEkPH1nWCl2orz1vTd8bwZAv2UZ79rJLszT4DmbKQxyupN4ctVX5tCMzwhbFaJQoowfFyjI31uC
HkIWwmKuHFKLX8NxrHsrmYW3jBeW35ZVMjnM5y4qa3EjSgGv+HS9JnpC26UeHXNxJ/JeZTFtOWFw
nRMRhAhb7Tkb7xm1d29kXpS3XrMCvpwKv37Oq3B4sxnx453CrnDT5rZOd1lv+c+V2bRXaxlMFy3x
svinnXbW+zQL5pvU05E+9fkUvjpF5H8fR3T/hNtORrHzNtKQV7rWldX5RK+h0haPUdZWD1JEwVnX
NpMiF9UbX6MMfD8eMr05BztDn4xKk0lgL/n45gkkGDTPgDwTRu/gJstYuu+kryGIn+x+zI91CjMz
0UyGs9gz1uK9y5yRcPBReoDYm7rbYo5LR+5MU3fEcY/kkoPyXrOzEo49ucrjdoe10KXUhJXPyx2V
KnYGywZciUnNlkOyeoSeAZlXzbuwl/5OdoH/UYHuPC3cfCU+DN94JRfurbNC5uuYXdyXNJjpes2V
vy5J2voUVXZh25s/U4m7ehArkVxIx0kUS6E673XqErtNGMaE3NjIrAvC7cybxZtB02Odg+kq7Lmz
EpLCxm8iNETKLKjUPxBPCMj7LeUtianhBmzEPHCGPj1d9rNriiw24I+ke/xhPdENGBEh1DUGzGtn
CQabUMWwelfTvFDGDhZOXWUg4Iw9qQ34rJ4Fws1qm7up77ZfvQvIGie8TsPWV/ipSLCNWicm5r5+
IidM+4dmFpkVE0nekCBPHvMaq2hup4RlRCdk6pxB7cg1LzHciHKawayq6mGQqbOr2YJCJOhW68bC
HggNnkOND2kJcKAnfYFDgXJm9VdYrRpKvFst+YsDbwVLY1U4xTELl94CRG/59rEDpsv25KJLZRvT
3Tcz3x7/SmbgOXgUw6esnidzX6B2NvCaQGbed1VpGKyqEZ+04VRYHUdjCT484F3NJYbCjIT2VL6C
lwtugkZAjBzXtJv2KF7zo17tnqDsaorcxBEkBiaBmedl0vLAF8cl0OORRBKrJ+ujtPNDhQQWwo3h
tHcW4tT7PDW6b+B3/PRQ4MTBSmYVy3eZu9zd3VKJXSpnuRMrPkChFSBMtY7Oe686vcQiVMMZDS1K
WqIXeRiw/JqPQDt7+utlasZpX+Ufoiqyb7rPyrdm0s5T05nRxzwQGZ34GM7YV53GICOQrHhk8l4+
kk9dRvZLXeOb8sqVyMEht+xr5DmLTOgBRMUuKhCrHcPKK99A+WBibVXeYhlGjGjs6i0/G7Srk99i
DCdE3Oplf799PxKNvpdeBngjXwnUwJKbDm0xkYDXtk1C6nd/rZEgqINaodBdkHY9BfEayAjPixW+
razky7rv0Tg3ckbrUTPcoMVfamizmDfU96kD3JqQ4VDwi2c1+7Mx8vjEpB/XP1JyT/Cg1q59PttE
fuzsEF8zsQ4zvtVwRBqfTKvX3Xqit67DkGN6X9OGfA1L3/zW4AxVMaQwXDlBOnjnQUvCZTyTG0yX
iiinH0Ia87Bv0kW/D3wgJ/baCJPLoEk9jWWUNa+jJRucQ2GfPuLa0E9btM+pztsVK/Vab+iR/JeH
lVLw3pY5gc3azat7l2iG9zbqa5KWubEncMJ4Zl2E8fi1DWlftxzU+a6ntXDfso+8euHMcB/Bj/GB
Pxyfa2HP7sHFJXHG91XdG3nLvMKbzPneLJbsswlFbcGWImSUUT1howmeqtZnkuen4HxL7moNaa8P
BhTVR5CuTMhkMMkXtRTZO34Q3Fr+bK6fddGJAeyd5Q2Ygia09mpqiiD29cQWXbqqeRijkq3QdxuN
CaRZb4ZOuw+cV8wrGZH1Z8g2cI0RIYQDqGC8WWIjau3XAIu7RSYkvNlFDurZtUFgkeMSeufCU97V
2q0CNWNAyZWAr8JGXJszoaFlOFpPaZCZH2C0JnnCBj9khBXo9a41hXnbdim50cbQhPe+1xo/sBXh
uqttXCRx6AwQt0xGf5cYMIh+T3GB1qwfjzPW1jKF0L3MJTbzzp2ujMyvX6KKz8mop7icM3d8WZ1K
7ldBqE3OMXKpxFDdeExL2s2PPD4sGVa6ZOHbQbGwLPPFqguPbAt6QZeKk0WSq9KRP2tV0VOdF85L
MXVgqZuxsR8aS9j2bpBBuMSqGNUze4tzPRIwgjUbF3p+QRtoDkjrQClAxDaRN3FVdPq5DFVkx71T
GJcQsm3Jxlg4Fck6Tncrlqzp48XGdb83UJX4+95px7s0MNMP3Vk8vjqti/fK8ZcLwMkzZU+RYiBe
pYHA3mcbQl7iVeSHt+2Y/7RXGvAQvdbhe6SFb5ACN3ZPHN3t22xhqjlUprTOlsa2CFBzyZuX5Tjc
GItfPni9HeDvCmrzDDdOp+MhyLsHDEjj85AF3jPlSPhAAEPpxauB2PpQRZP/Y2HOSqyMCLIbbuKC
ZAuq+XMO2ZBVwVbOCgITRX01hcVLqxTs+Hxo1U9S95ZbTCUFTv1oGi/DoJ8pecshlTuFGkr9p1cW
2wQHRqwcgAoTmbHz+5VloeEI7awEV10Zw10N/GeHsUYdc2awL399ZfnF3/rtxkIDmLYiBKeIPhnz
3t9fqxtajReyJH/Wyzoj7k0jfRtCo8LqGeicX01pzpzadaFUR72nCZwdcL5Vnt0/W8FkIoTEFmhd
OGMGrihDaGuAjjetC4KeukemHKG54ye1P1VLii/RfNoRMTkR5U9mluKOxp1+8wixKRN38cBb9F0V
vS+zs7xZhcK0VfZLeDc1dv7oj+76vYXy8KAcW+DTc1b3Lae6/FtD93+7GP/F9Zel9D83MeL3vPi9
d/HrP/h768IhYoLxDtI8+hOomrZm7T84y/5/b4RhGp4BA30SCemV/KN1QaS6Q0sB0ukvcpdp8xb+
H2eZboiDSQlcJ+O9X22N/yBr9KvraAurYJunrbIlu9s05H5fy7YqJRo7Q5Kz0MwnrALW5VQE87U3
Z94xZwS2LzNSsQHL4z6tJkZTVAnZmVc6mmAEMrD+6cv7c39jc16ggQHDxNyI3fTrJGJsw1b1/aLi
dVm33bTyNkP59Ifh6Jcuyt9ehc4G422EWb+++t9a6Cl5mC0Dh9jHx4xToHB3c21Yf+iZ/rtXQSm3
zbA38ddXue7adcNIOh934NzGau50/aWD9/8PsswvvZpfn4XuE+BMZO3sgF9+wCJs7WnqqKMoXuuY
4Oj6YjGD9lDUffkHztOv7tI/bXy/XoteGQ1R1jQCgS8t0S2FrAw03xshZo9zBSyn65zjmlYnv/BO
Xje+zYXiIErPCjd9aL35dUHXq+l8D1N1Nrjln2a1X9vS2zuiKR3QAgbkt+kHf1++FNt+5YbY0k0s
2M5n09IMOycFasaNWuZCILcdWhSLxdrY99ZiFz/gIRvEZ0tml/u/Xrv/5pegq8IPTWDLllb85QhK
x9WeyzIl2C+kHlvo/OwyROi7IQdk8Ncv9W+W1m8vtf35P82ABghwud6e2nzyjbOK1XHJfGB++P95
Fc5zrDvQGb+22Ud8qWlbs4DnNcsPdrQYh97u/mTn+3efZSPO84AAX+Nx/P2zRJns67XMWFRdWb4p
qs5rQxr+/V9/lm1pflm6DAsgD6NfxF/yVV+Kpj3rZVMrKjarPPYGSMAkNWukU/bc9+eOLOXTX7/i
VgV8fUWmnBsb28IA5X1porbcRi3VRNhdESlcLZan3pfMMs68uvBuGyPiqosk4Bbq758sX//6jYbo
Wzl1SEr6xSD//Rs1FDo0iBb0OkJ3uCqrljCHSPxJGvavn4/bA+A3PiGIOVwfv79Kbg7SN3tyF2e7
vzd971264WO6+ueyFHQrsukUuOMfDAPbWvj9O+U1vU0iDEwddOaXDUjm9HiHCVBnRJonsXfWPImr
0regPBdllMuEC1vhJ8Kt+3xnzwjaTqJtI/8PP+2/LibkoUzBWLaI8Ngpfv/oWBTyKKp4G6HPu3CW
tNx3fT7sa2xgiTuNf5rGbrvYl4/N67lMPxhGYc34UnBqa03dzK4J7lE5CvOlKV/qLEsPGGxLAu8J
6aDjHZ3+ev3+63bGeIGhBvIhlzQI68tzma9uSfIiMvjUrQw6Tp2xq1wRHfpS/wnd+e8+H0o7+IEM
F1lSX5dS3xLgadBTbWtkvYmVLoQFon4oiYaMirY5WCV9KPqDhvoPHRrczRkcWSS6s5S3Qe2XFcVF
x0RqCePLWyIHsFs47PvK/5NI4OsH5LhEnR3YtssgiuHpF01RaNdWY/aosuc0Ne/taruPc3K2aEYx
akXOvUFa+V//fAyBv6ya7UVZNEh7KUA2ru/vq9SSutGuA8TNVlZZnxehHHEqjhiIrc9mtjt1PZGq
tmzpAD2a7mGqh/QMBXQdPZapbporUYrSukdmUJm7LJRRd+KmS95TnU/03SGJSWOngYO13ya7sSpA
GPns0MbNgkFddPaS4k2o50C9QbyVtomZkGDGWyY8fjkl3UhS2CcMABIo48EWfXQVdVPF3IARtnVe
ZZMDoMKXCH9u6nqJflpRuzbcfZdysC+kS6zolR3Myr9iRkuK4dy4LB1vxdSTFM5a9adgHqzlWA1e
NZxPFhycfTnZBk3abIsFa1F2y3gabTXdZpCm9Lc+h39wXkWFO+1xF6f6EtQGfUqHrOEC/bLG+8Lk
xaBDG+aF3nuZkfcJqHL17kUpkabcGlfaA469fmsKmg9bB8/V+5A30u5J+FzMPZ2DADxLmKXtiFK4
X59nmz0tDmaZ05QvAoOmdl8MDA+rcX32xnoFIavE6sYz1ODvkeHzaGgYEDcd6k/c92oILqe1WJjM
M4LPkkXYY3hRz4b9Zk3wp/bp1rRINNS19B5ffjV9pwQSIEzKecnVvdVVxI/uB13PpD22g6v1t9Zt
/Dw/REWV9j8Hc87PnMVZyMlQ0pvJiAT3Kscemk8HAvxNMfD8qPKoc2Py3Rprt62SIoazNf9Q60SO
qwGeriJxiEjgCzopOZPL2vWuAVXS2/KcPLwz0ESuG6DN7a/yFKZeHEXaOBCGyuzGDVXLNRvNSQ0Z
EAVK0rSG/7MXLZ6nnF1+SEAPz+/mMkYPrqWtOmFokJLcCiUqT4QC/h93c00/vlP1esf1o2EE2ObY
aKK0TH8UtP2Z8w+MGXZNP6Zv5TA563kt0ulpi2JVu3ksKou2cW88Ky4PD/XkFvxejeu80FaZs3jW
hQU5qQ+y5yFNJ8Jfzbl6zgpgQod1bTFLTXZWqMtKa3VtNuzccZjL4AjABOhX1lj1k597sk4mOGbX
qTdGLhYOz8bOXAaBuRetT8+LmNe820/CAMzlqEw/AF2DU2T32fSI+5gdFLbVksZFM64vQxF0n8wY
ZbMzkc13+8VFWwhSwnOeVV9NJnxCszlbLF437lCsD7Cc1uiqH0anSfyeRR3XtKLZtcwiOIdapmmR
mpJAGFmLat4xoY6K2PDMbAQwu7Aa12UW44nBDftJ33dExgKXsnSMSTL6CA3oUrs5d6x+37omMxZr
8zUk8C7cqzKoSCoz6JsVScVUDfNo49GkDwwWm2MM0WtojPW4N5qxUPRPHGvcp24ftAmYAAiK3Eeb
J1Gsbp2QKkqLBafaMO64ZcNDjvwsI2vLhSTJTbZQbly2oVIHUF0L/XmwjXhzjVUzRRJO011Zxrw8
E+PQ3rCtBVv7cBqtuA8c2nPd2kxOvOQp6Ik+bMnYpr2uPrLBApnlpQ7dVd5Wft6XvXhuWDzW0RDM
NXEbyhUYJLOck+7UjEevrryfTVXT+qWbBiCGao0I0iZCGkdl4bTDLit6lrjf6pRhlUb7TDNtzZs7
jYl3ii1hSVI6UmYlR5p5fgYvy5eMv9SMBSJnQOLQ9h2VtV+c2XsH3lLkZybKnSXh7rY8D7Iz+XFt
aU+73JLyqo6UkR5oSpE42Qdr8zxVjfFiT22lYhxudbZb1rkgbN6MiFzSZTOy/8l89WMmov0tZic3
24HNrD5a5qBvBn7gS50aeP4Hg1lRzKbShQnZi8ujYvDyqaQIr5RooMFovpNdQySqy3nEsN0UhUlL
nGJ52bdQOK/DOYQuY5YOsBwRVAyOhZzGV74N4AVB4bMSagVNb9eV/VSRjeSkA1zSbPZY8akZJUTU
KZ+hQCPqfai1nOCctgaDOl3CLzOM1MtOURrO/O1GLkBDAlS7jsqpuXYhKM9MpaPOYWY2eve5P0Hn
dxlGVHE6Z/14HECC5SczJe35crDX8dX3Bqc+AN9i8tvVzcYLXYbsY47gEcRD1tplEooS7pCYNquK
FYwWGeLh4kGUtUyapBm76KPVsFoPXqTznEQ3OX2UjsckrVukdwN1isY0M0Sv3jExZEpMj2YD8BA+
zqFuTvmLItwogt85M/cKHY/Wu68ogZJqcsoHyy6rTwuLo510Mz92TNrNaOGHLfQ9RLjGTZQTaFIY
NVvnafTX9rboJu+JJd9BrDPQyMdD30xg8ot1fKG/X0w7xNkZnW8rBFGl/JA/RMmcv+Wl9j6XwDKg
0k0T06/ZJQpu16yVpy9kJypvP9HwzOIptd36fI40lBVOyfbVHn0cBmWd2eGJwO3RQgMhpvVRCyN6
ZC9qcPD7UJwSeuLRB4gU5wdaE3QCIWV5FdvcOzd1X+Rc2175S38hzO8k2FV3LHt4sZA2xXACDMcu
bLQTuXejaYgZSBrYc1QDc37PJJVIa+EN2F5tOgmPI+7MT9pm68/C3Z6gNRO5dRxtRrlU46Wf7XhD
4s7l6DMSvK42LLAOoPtpqn37s4dT5x5sn5OSgHM85HHl5tkHUzzPT5ijpjfoe9L6IJ02KBPhuMKK
A2vxn6amR402D84CF4h3XMWmKdynjIx6orDtyTxJ6uZux9EXXqtCZ9ZZxm9SHjxhm0c/ndujm8vJ
OKCKXH44xeA7dxWOKZ51QtuNnZNNgc/s3mU7d4187GNpOz4jazcge8FPc/BfVW2EBJEHoGw7T7fn
RWswUiM2Uo1JOLvZcF64jbNwYowAfOe6RZ3jFxuB0CTvlY+6ospKRCRZ856UsMrWtsNp00tgVPvB
pJXOLjAAzsrBJvc3qDYC+5CZU6Z2jimq4d3ncFr20ej6yCLMRRYcSZnVHMbRihhjt3X7fWF6Ruay
cDzj3IRYYfF8YJsJmXAKi6DbUfPNpICKjsrP5/dBBfpRz72TU03hQU2o+qLsamB4p47SqYPsYsDh
6+7BU2b+uUkX6WPqbTcnDnI1v0V5QLvSYaKSSCN1ASJ6DJLArfiNF5uhpfZiabIwgQvSX8xd6/+M
Oq5UJ0uottjB3GtaikjBda7xqvWVuETncvG9/rbrUUdzjC5jdTJLr4YFJ+Ea70iM7/dmY6Z61xJC
1++Zc9DV7+DlXkwEzlwAGR4viqVh1w5qBi9HjmKLUjGdwhuu7CqxI2GfVJuTaLc4rf1UjFnVk1we
FK+l26u7zmffirUpzR+rEGibM0OG7wTM5pQSonKeQ00reyemRaod/bmesyjP7TtnTlvFEEQFF2in
8kfRUiijhFjHi2Gb38cGtqr9KlUVEoHjkULpwh+1k5TD60yWVfZQSD/4TCdjus9lHdwB0bQexlCC
z1TKRczBuJzfp52C17TJnPNWWtNnWXdA1yZVutQrkbFeGwhSXZI/PSA7ndvmj0MeyWc0YO1bAddx
OmxOTw3iGPwcu0fmX/EZirdZL+5LwKgQkrWpSMLybWHoo47C7kEPqgh3YKAHXK4dj57PimTJVxGR
v9ByjT1H9XzhQop7U1URfdJq6t5tfwi9G4v3v2WJGF29G0HWnhVDX6nzpVmmO8n+1iZp3udvXrqg
yKkau7hfqSsy7MIFJ71n6EdG5Bl/VGoboGIPSo1PO019XFBpZNfKNiUURXLdaQYMprcmk+z5U9oJ
iIBMxV1kZzC/fYzccblW2kLo37g2Nxi3jbiGUIQFd6LQdYHbIDX7JKvmLaODnOEwRtw16b1TpdDl
0lSWnDioLdjnoiElA4ck1u9FrQRKD/7NdzB3zoUA+/xZSqmjHddr7vBCrfCKvTZHBEaMYUUscmSP
Dwxe6ViD9hAfDXTLl9kQXCmYtwX8FdNArPPqGnNi0OG+n5i/N0kzK5tBaEW7gBjUCFvinJnmfVFI
d02coOxvMiFNdwdmPK9RW8uy28PkhdoXMpPmuxPCFad8HZcHEGqoAJD4fg7CDq8ccuWCfTAN8rnp
izlNTCb39zOkH16jjpCBdJUd5AmqoPA8oNVEUoRByyfmoqlz6i42VwN5UZPMsqDGsSgwf4CnzIfL
xgzql2loApsDVTTfrXoFBdOMY/Du6NzMj2it+EW7sXO+raYlymMlxzHc1asT0WGaPe5whukNxA30
iyd2Uz84NPW88llkDptgAcI5OBl5oQiiXK32WnpqBknLiMndMqf0cQnTFAQkSZoPNU/zOQUa40hS
vHm7I0d/tlOerh+0X/O99mKW9xkpEcVhAUfuoRUq/Cuuq/mP0R/FixSbh6iSaUtatDv0BFuntuR0
NWoWuVXIcRdlRv2mo2qlaCmCkmF20ZQftWx9OH5eQOJsJsag3OUbynffuHW2nI8k4FR7wrK6H8Po
uQwxayvIiIN2+PhDlsq7atAtSFxrK0BNZlZvFY9jsYccoL/zN6/vTlmPUQwoE6mYMusRDnVviPoI
65NAY+AbYXZTGBY3UQ5LTAyymUdkLARLP/YhV88do/rxRze4BVdzIgUhQ3jceykRmsI5eDKc8oOq
MhnAF52Cc5cuhyS8fKD5mDcjYhtR4TM8lUawSRrcCATphOLJqBpAn7I2qzt/QAgbZ0sLNVLYRnga
3CGQiSCbZ8s1ICMbAYcfxU7VANlECco/N6FcdQ58ngDwvp9Df78YS/aUiX650PgwWds52K7xEDql
m8PxymbeTbwUmsd+KoVcNkZrn50WUYbfgiINX6ooHF+dsavvLWD7FeEHZDnGFbP6IgGLTGAOI+Lh
Q9mKIrAY66lO8nWLuWo1FX/soLKlbC5b53wkJYWmyzJyx+tQ+VJ9L6O+oGGhxL5aI3kP7tm4j1B7
LvEoBLetXET9q69d/ekZ1J7crZT94uTM71HmBvXtPBfeuCelXNDLCDPp7WvX6j7btXChcA80iCa5
Rnlc+1reVJalUDRyGQMAu67G9dSj7sFM5M5Hm6sV0jt7QBaY0clpDzw+JafWIAxEv9QpZdIthpsd
/WiFoZ2JtLBB+9lIFwvDRlsbIBLarczd/MSkZaUPbU21QpYCjNeDP+cDstfMLjwiI/ys4wewkYdB
7nPVVQHG/FNNgf2NEGob2m4hy+9e720aNnadDql4XpDY4afviOOqJ5XyayAeQTWlrS6zEilV4nrr
IRukqndpqhQ9GjOLxjOE38PKpXPJ51M35/LCajscLNycxh9BZ6TvDgKzOx5lNLzc/vy31QhHPDxy
jL45HcUPzSZbFPFg6PSnybDuxcm20nYqnPTaMDqEhQSMG5zbTWjtIvpYVPvgHd9USrd7R2d+vNIj
D9jW0OGeH3pm+0xUrPq2GB1YTFdMZsb32EooSO20nvV517zXVCa3lUsoR5zTsEStlyKuQSyGokla
i5MeZN9O/WHiqqXZbMus3mlO4Ut3AtjfJiiPbac8KMIWP381Sv9Xu/BfNrsJU6f/Wbxw9T51/+c4
dkJ0v9kv/vbf/V3D4Jn/zTje2yAmDDbpJTPX/LuGwbf+G/wmtt8twW2TItDX/oeGAeUDc84QhwUn
NnwJutP/JGEwmfKD2cC9gz8Z1Ol/IGEA3PZ7o9vFdxHBw+J/ONYwLXyZhjpLNk5Ryak7STHVp7QY
G3qks42W1S9tcRea0+A9euUCMc+o5sA4Q1oX2mdhONBWCddhvssZTFoJSjqCJJyJSBFoJJrK2udq
xkncK00OX5qGN/bIxKvJ7GXiRFmGm2az9SdW5V5VGBKqu1m30NSJCSADNzcQHMYzkKH1jYuYKG64
p08fZNm33a5KI+4unYyGa1flasttjMZvqdUvj80qJxmbQTdfzOCLOQsjbXbX5ULv+0giSxje5HNq
/+QyxTOmHLO9t8bKao4W81o1xoHhNDz81gjGqwZmW2XFZaQw9e+5ZtRtSFcPhMOZWXAG0deJ1pFq
qrR4yBT73KUK2noDX0+NdWwYMRY8q6EOD7UrB6ZqC2Lw67p3lminByDs+7TxV1otZtno3QwPfTpY
xNJHiSjQOtMjICBk2Iew3Yejhd+QChKdjFPCAPeciud7XPQFvYzZ/TEW5YYeZk+YkyVKmyDheqLt
G1um9PVaM1zrHSn0QtxmBAmsx16NjvlGL7X2nmdyGyhdozyPsIW3wr11m2Cybwlsoo9p5jUdo06o
pTsAcRLTeUAx+1TT13vH7NC+pOiJ8QdApa7jtQMENoSZe6ya0qpjMGnOnlseocNZpNydWvrmwXHU
kgx1sw/WiI9s52HlMlSglE/mUXvvizaK4TafG3UbNDkVd6Pk45I6vbjO4fTQE81b8IMG5zB67Clq
ipthEuZI9mnLpcnBX4cIfQ4rRY3GFX+PqrrwKd/1FB05ktR8IJ+yiTCn1+t8y+G3uWKqucZeYRPU
Ye8ywN8puG1ke5xWRbOnR16/jx48gKLVxJIO2hw9SBsd1xeU9GbSR5ZgXFSnWUcwNrCnM9oi5n5o
7O4R0jA4uKKShn3gawEMz8OyuO9RNUSHlAYjatkOicqn0azaPR8K5POnOZSqN3dUpA2UNdcpkBsx
KiWfAdna6AS9l5JPwpSx0VfT4qwZtCkDCTEWHMtaX7TqxhhXg6R846c+upN+DTyxJKuuhnuk+eVZ
J/SYxyzTU8cNnGpQwhm0VcFD2IklpSfbT6TkmhQ+5DaZAbHxqOFt6iSmttf2tOTPBkT3b8gp6pPD
aXfAydVebVEqJ7S33Q9FplYre4+hj5/uoy7Ut5HXii2eRNRF4qhVVifMsh0nKBhsk1C+1uoSJ+13
hWE2R6euUcN2aXVuB0LdSuEvdwFTDoMJOTcjuNnhXOkHo/HGe4n4BgIA6O4dgWtsYn1a4oMC4nNJ
CybaL8WavmnX59pUrqOig2lq42WNMDgjBQ7neo+SPr0dpbVeGnVVPWaFFt9CepAEy9Qsw5hJgbcT
PcjvnObv5WINaDddawkq+sDcF7FYBQ2VWOSN11k2WXeNx8gEbeugP9sQVW7SlVwLQNn58PuJV+qG
A0HtGYoaSmsCNBlHlDsTj1BPQKDlGzFGhcW9xY1k3FqjGM8DszLPBhFCEFnXUHBn6JRd7AN8Ko+y
o4bfQWCjgB2QuIx0fpRz6qeJ3BaBCgVcRuuIhHv1Oj+uAy4e0TtVf6OLsZVXg6RxHxddAxfGU6m7
7j0Jl/GyqS03WbwhKg5olKCWeItjUOqOAf3reUSneV5PVKMHvRBMlE3jU5SNYr5LtwnTWaSIHLhi
6xAkrDQdsSYpU7jsrpRruisQ4yfLPDTMxjgny1Mue/bwJABQP1ZnhdMhYYfnT0uyfi0ZgixBKQno
EL1P6k5lVxwm0WKRKVtUerorDVmJQ4cqOkqyku7tUZo9Jb4Rdt7ZavgMA4jIMI6Fng8y6M5WlEjN
Xq2eldBF7q+xEHViRzk46MNop+4bGlaymzygp7Cs4NLHapHdmeEKdWIImFJGh2PBnrMEyth37kKr
0mjD2QRzr4Yb8vUu4A6o/KLmghgeAlMv7SHc0slOvSB1YG/Zqr8mja4UZ6NZ1eHVmo39fjUU+7ia
6bO+OLoL91U3Ebqwpikda4E3oNy7YQnRmqkhjdpWHQyXfwuQSKD3Fub5uxLVys5UA/+Vs4UBFa9z
3j3SstrOtWr1fhCnoC8WW2Y0XpvyNiU151tXC02ExMoaweW0Ds23taOHF7Nnm96eMBRW+aomjBTD
6uEsXMrSjWk9GP7RZBMoD1CQ3JYgHzu/X3uX5n4Jd5fRkn9sazo2dY38gPP+LZcl7rxVvbdrd0+j
695y1XpuzuKVzOoEZtJ1KZ2P2jSXRIsojLWHDoUde7vNX9Izl14CyHrf+POF0RAeuMxz1Z3a/8ve
mSRHjmxZdispOUcIoAAUwNQAM6ORdPb0hhMIvUPfKHpgN7mW2lgdmFdUOc2ZpHiNU0LkDyI+qUSn
zXv3nltPk2T+c3nvQWZt0PY2OMgMU9mHmLNRv52pVV3VjRuvAChHdqTeLNrQbqNW5T31jqb9Kke9
s88Moyu+VvkgmBDz6oF6fFxdynBO5WFqS9bVlT0BkLIRdbubYvIbCVtrCPJqLLO8o2EwaeeYvft4
K5ABckLM0vZxUYkiYoBPTT0IlU2P0NYnFupOeWo/ac28N9kC4CiaHBlfpXNVzvtmRuEOSphfzXSZ
n7Wj1g4UL0dGLDvd+Zb3U/tYW92a7DAa+g/iP+SdIEEx9RuFUj9JhxvOZcD5sH6JRA5EqM2BNwh1
z12Nz5nj0+1AhzZC6qlY+ZLPq0FxFyrDC6SZOLT19TOHOC1C/lA+cCKEQ3obdXE4BTgXMhDf8eNi
mBCm9AWQliTHhbq/nd44SSrsQ7+4+ZkcvN5HoXI1oMje0Kr6iMWGnUGUxzUU5rCx08dMVuVF7gDJ
7+Ssux8r+qXelneX3JgMJWtBcMy4FCTZ9Hae4qIJF57QeTyFsiAwjUSeRG3R9Im2YodWUNPeI4Yz
NR/UV2oceq1BpWJkqqBmbFTuDsohnRVZucMHZJmN+3Rs+RjR0Lv8qTqtBzo09byPJomLMTF4nfVK
JBcaCb3RtkoF/bcyJOJCUwO1jsjTPqI+qLdmNVJFwoyacTTT5Bxea51JagNAbXdvNguOJhR2zeeV
x9P4gFppyJVYBRff1Q16Vo1VuGCO6bqTPVYUtfGQ14PIA6bCMd9DbMEkpdn4BDd1l0/mgRSd4a6o
iqTaxTQddL902H/5+FnC5Ir4aS++qYcMv2ZozPqHtvUS86CcZMEhiQDmml5B8wPvn7XtQpaNFOOI
3C8GZ+TzOs7ix8HstH2ttOWH6bbznQ3CyyeDKEfHoM9O5iunK01SkqAybwEP5Rc2feKbOje9i24s
zGxr07AxdmnSqnNSMjJ9vyJSxXWWJmOM7dfUjGuuIBo2w1IltPkokvlFMcfR3lFp019MKnbZhenC
9EM7vVejzSc313odMHEVjwNWWCpNXWhfOg5KEPSlNMkxlBcHqEBezfqgmKDsYg2RqrNaPMaTq/Yy
L7XyvEj6/NoeNHM+hK03pcFSp88d2ytnTxGttvcgwsZpL6hdLLQgaIX8oEBCO2pAUNKm41nWL7tU
KWe60ps18mdgUfXOJkv0T7Gt6cshzi0NvHmC1a6Sqt4RBdlomyRju3gm+ElKDFF/WdFhv4xCwaoa
xXbWHGyVVRGm3MQbN+j4ajegvXVIq748b4tmzdFU1seqE3zL8ZrI+c1wEyH3zSp7oOBgsheFmOnw
+VS9CDL21tlVjbCmOiOdzouDAloiqpmGhKLA4KWhp+l6ywizONW8IXBjRYNJJ4/a3OLvk8ZlRSdk
qwsMaGcKKVbsw1hU4RZ7prA/zNKy96K06Bpqcf6txhSzIf7yJwwRgqwGd9fKxbpzbUxbpJmE5tbw
lHPf2yrM7rCTVsRfTfJMgwCDfsMMEwxetbogc3pCfkgDN+y99rsDNNq3iC9kyel68xci/n+qGP8p
MLkjCPzvqxh3yVrEeC6///iP79V/3Pf5i1rGr5/+FyXh/UMdA5k450wyLohf+L+1DNv5R1pM/Z7N
P/ggVnH7v7UM4fyjgxHCpGFQB3HxDPy/YoZp/gMzDomvDqgJpTQS9L8oZsBXOClmSOhcqCBxWAtY
CLo40XryH6nmcrzBGo44WEX1tdmP7GOo4mJSzznPLi0tdllYLY1xmeBU9Taz27QpvR7s/azW3fqR
3gtyrgoEdCYYv6Wyo+a5bxutuVnCVidmtOiJWIm3SOrm+DnJVoLSYcRHqX10W31kTrc5tSUfODhZ
ds4+g/w7a2PkRPEht2DToX0vi1QLXZ8Ka9wz+zl2GT6NZYkEjv3DymY4chqsGgNhoI78Bos+Y0GA
VVk6H2yXTrLFCodIZwU/TEdTGOI+tA9t4/Ebk6Nv7GghY06cb/LCJPKzgDPjm6vbLKsq9k4L7CWD
HkTlub6+etMa3ezCIFsda/PRvJalnvymHy1tRRpnrPF54t0nZSU/hqv7jTRZGnxHS9ywuuO8EokM
iEU8c0iL1bXjKPsDd12gMlrddRTbs3Bn1njuiMCtHsOjEa+wk+arebTnVatTr+u6JvOdo4GvJBeP
SNVEh12Jp5c8LiAI08WyOv8SM2aLpK1+QLU6AxfdrOU2d2et33ZH8yBTWX3jRg2tL3W0F+bY2y+z
o+mQIyr+Q3si0Ss/2hI16qcOtaPVrqglMOtoG1Jotag2fWyO1saS7rQIQi7tPj2aH+1JF5/q1RFZ
rd5IiAXYJOfVMakfzZMxJeCL+WipnI/2SqfpmnsOoZguCQZKr5PVibm67bAchv2211XzaV4dm+Hq
3YzIifoEwKD7kKQZ5XvzaPOMj5ZP7Wj/rI9WUDSq+SVwIcL2CsQkaDOPxtEkNrVvUYObtDoaS5s+
xmN6dJsejafqaEKl56J/B51nPBa/TKqclNdONO+ej6u9oQJkFEz0US7P7aPRdV49r/nqftVUhhEW
lxMG6qM9VmFzxe2Ki98hvxQHbY8KgL3x6quViAWundVr2x5tt5qRFfdJ51HWIv4AY64F/ULRu10N
u+xpVuGXzJYfQLppmkSZrj31q883ytCubJy2zx7K1QfM2QtdnbO6g606qyR929U0vLYhqZUfzcR4
2KMfRH/3d1Gymo3p4+Z3EmTCV4DEOJLLozk5NFdhgp30n9VqXm4GieguI93uyj66m5ej03mcEf36
iRDRV5pI+jOs6PTOOPqje4e40fbomu6UXuWb4uimxuxenCGfnR+L1WyN9AzfdQNi8rNKNQyM0ErX
+MGjS7tcDdttQSjpluqk9Q0qCD3DMuNfQ2jA6I0qB893b5jcZ+9oBV9N4d7RH945i3HVr6bxVuGh
WluuNGHNo688dBX766gZxLl2dJ53jp5/i9rVj97GvcuVH33qMdG9eNb1ZORAFONkz46udtEtneMX
R7e7vhrfuZHuExZs7zMVJHzxFWU45yJB08yRdLXOF0cXvXZ01Gt9qqZtgxIeO/PReQ8gvr7D1oIf
vwaveFMcXfpe3kiNzV1TENh6dPJ7q6l/IqF42gNdx+ufG/U4+LHVEWlJ7snSIi50672sByASJjrZ
KkDIjJYwnVc6WW8iRtpS5XauutTWJl9LsOlvrDpNPzd1ljx4ZCLeFIlgczGG4cLTGKh0IiLUkF1P
cESIbmcr/dziXf6ii9jk60K/wx5YZOFXAnbreUfcempR0o2Fh6i2m8+tBY2SL/SWc0eqqzwhxDim
7ZM7msUWqHCda2PU0NfVVr8c2qol4o94dN0NyIYXl+QAIk7KmhClayOTCzqybDbdY1qegVn354jH
9jJRRSeCocEFEySuwOiKMgEmgt0puqhAXbTPrKHjVT3NuRG4yWI8mJOD75ANJoZbHLggQ0ZA/gOy
hdK77bKQUxwl5DjchiHtQbb5QnsckYQ/hsnQGxyoe8TShiv6ZxwOqJ+WsZ4bsCQ6z0tRGSU9uazr
G8K70cQgpGA+mhZU36ahmWdY3B+KrGr4mkw6V6VGaLFjFImix0gFORg8XPFbY6yXZ5VSpfbLoTPF
jpOXFZ3llFdvtTKOaR54UycuzGFMPhoLFZEg7Oa53VpybJaDSC1PQxloetdd2Wg5NSlNb7dm7JXp
IVnSqrpdstmufTaccoNJuX1mL8rBbDCYVrY1ylfbZxEnDA3RpBsi2Oz7Z07J2rgd+8ZIdyzxa+bT
xCLmU5WFGm9nEZU7tA90/lTtpk9LOxb5NSuQkW77BWyez77VoiwBwqeHQwJq8zwnO6D4MA6Je2Mn
Wa4Cc1joWRfVRHaWvpQkJfaLTqkvUmbxnRQ1o93N8cLRe0Z2jLArtuMuMLi9TWD1kBkCp2+t8SHN
F5hCRV5raN9GEd5ReaBFolITK8rSDTAWZ2QoP/JyIjw4iUrvrurmDsbtMhcfqFl0n8Nu7RnMVSs/
KBtqtW8uRF37rlun1NWt0LhDyFzjexXMfJ2RymwzRfM4bYzRM/Ig1+38exXW82NDZfC6tt1U37T0
gOjZFL3zzDtQ/3TDIUF/lhnWHbrYFfyY2tSYOnYRT22HRscfQC0RDjk07rVBEdXYh5a7PEXaqH9g
vznoF1hDzO+jbZhQlgH3q40iUOoQ0iNekPfpJeUJzTQA8FBgp+dObKo/xQUfnTOl+m08F6iiKkvn
AQ6g7B7Y4jnwMXrJlJnprXfQYEI9kpwMMX/kJbhHWztxXjdRoRu9mXNgJib1tjPBRdAKy/vLlnhc
FBKhkV85yUhtPdfbCkqBotASZFKLP7kJ+aYb1fZOdDsOnfrONnq8F2U7kI5ZEdeKYDlzbyVlBm4O
GrZr2iQcnQbu/6cCYND1ONcx2ad6rlNh0Kr2RuVrcE5dL4vPflXjnDSRGskXEOXo61i1N0S3cxwk
5i9iWU0dNLzs8a1veYQ8aIMkJX6IrbIr/Ej31BeIcGCe0rpkbTAU0u0wzFzKbJJKKaIOy+YpV8bw
ALAFKRPECK9n/TebPhDa3P70KGINATWrmiTwYeZm25FBBaQmoQJpLIUQX3Go/GrjRbityxZh7Fy6
N6HeAuKpwsi4EbzkzRbVItm4TVMTUr/O8iT3rvrdbTp1+bOTK4BUC+nr2k4L54pM26VyL4rC6upk
N87R9MkjL73YTQQCQ3SyyKnYG5UiaV0s1lrz0xH1uF3E7OzmUa98s4LYc91iqv5OZ7DKfJSj/L8J
turPGoHubIwNYolVNZqfZcSmlWnSAdILnAAmSOukFtwdOxZUL9yopVQ+paTNqmy8mWfLGncUvJfe
Z+3VPmr0YWFs5QQ9bwd5BP2MtfElLxdapwbbgfSbF6WDtum1yEZUAXPfpQhj6fEnRymuVSbYZlye
QlemsAnQzT0PUWSgPVhkFj32CI+toPGiyWCjHRnWBuFelLLHtX9Zwf/n3Pyf4hdb/L8/N988N//r
v16clX/9xL9nZfkP3j8cazpMDeyWJs39f7GL7j+gyzmYE24kObBKDrH/56ws/qHbj+wAZJywdVrR
qAX+7ft7wBrJKQF4QFwXP2T/zUn5pOmPS/AYKoFFVkgMMCsi4XcLNO8i6hxS6zeu0IZg7lgHOPF3
298qCTe/PJa/8xZPnJ6/RuEkjuOd2gDagpejVGFbE3gOfYssWG9Ll4F+aTnlTxFk4SDJPO2dpL8/
r8rWKSVgqTVogrvmiWk4N9BHe3icNj2VsF3ijtMuzgdj8/ZVvTYKTGnaGYZLhJB1cu+M3k3SRmdj
hmJMfCJ6pDjQ3F2Ct0f5896REOPZJFwiz7DwPb68dw3xXnFHXgox51bs4FyZONpljY2FrPJYmAHj
jvHD22Ouv/M3pyzPC9wGDmFYnGtV5pRcCT5tba/MDSk0pThH9W0HQ5uloIRd+c7lvTIUBSP60Hwa
DiyJE3+sqEEpFihEN1TxUcvKqdq3vWtTVi3yd7ycr9xJif/XAryA+hWjycs7adeydLWS6vaQtOmh
x2JwJu20uyTv0rsem8p5x/r7yvvx+3juyVs4d9VSyYHxmtJY6rPCCGttm3KSfGec164LgINLGcbU
0YmdvCGeaiQmmJntIeeQoB8aQcGfyA0kLnMgJ9fy//rtWMVIDqIlmK/mOqP9PmeEhQsOCnMTZk6F
WTy09WQOMtb8JzMa1DsX99pN/H2wtdD3G6NhyKPZRvvDYNXKa6VasO2sMNu+fUmvjSIxlhJrRXHy
OEm/GMVKNJwgBoiwmE601YT2Dvpe9P/xrv8+ysm1GBoIKm1itzY3eh50IpdXmJcEBsioeXj7gk6s
0usXLH8f6mRuGhanblqD22Yv1XUcOxFIvFl9nF0ju5zy0nhq3P7z20O+eg/xgGOxobMAW+Dlk0KQ
GjcLhpdNzUbwho09jlW3NN8Btbw6CsgovmPaCaxZL0cJ7dDCh+AodCnYW82pkrtkqOT+7Wt57ZOS
QC6Q8LHQEnb6cpTGc5IGZw/7ango0ne9PDvPZRH+LOo2fvCYqrp33vPX5kFuHTMhRnUp3JO7l9Ix
aRLJYbizHLnPh/4L+s6vQom/jDk7vhlQLdi8o/dbNX8vL81LCn0YBiZco8RIdesOGDJ36TSBgHj7
Hr72pBwSiMS6OsJxObkiaeswMm2mCTiShF8W1K+tnP3u26OcRu1wPZLFg0UeiSRJe+7JCwHhk+6d
jQFDmehz29Icsa/HaIXrOtqX42o2lPaeo0tGXlU3ahvOkpwSdep77/wl6zf1ctWUXOXacCBCkt3e
yZ2d2siNjYmmV5zE2Tk45mGnVG0+VEPzIQKKet60dUXlC/qraeLDIKuJ/rVDo6HzDv2sqXd2QX/O
AaQAGOtb7DkGrZiT6aasREj9vgMzH3nyDsmV2qJ6zoOBzkygwzv92iXNsnv7Lrw6KK8ve1ZYChSF
X75e81CDllTMcRyThgAsIX4NFWpkliEm9b5U6aiCt0f88z3jMn8b8eS2z8KcCno9ajPRWvcbbAr+
AiTynaf76ig8W7aT0sFvdrKYw4awrEhbPYOEf29gmhS+5k3vLa3r3Xn5CnEtNMgIp2QS4Bt9effG
meG1gVFq3R3NzRh5lIdFN0YmdYcIeFjRgPSFmpvetn2H8+vtW/naw+PlXQ8eNjPf6fCyjybOlZZC
OFE2F8QhVoc67pcPKbKJC3Zllq8jonhn7X1v0JN5omyAlM0eSxV7bTkGAwzACywAke+6RftBYIDq
gmqZKBm9fbHr7z2912w55YqAs9cklZf3eqrdQhGVyeeRGPbnDrN6vxUYVvdj6elwT4mV/vT2iH/O
8RzoyZPGMsT2mnPUyxF7MxpXPzQFzxBds1Q46wmUpm1VTn+/92Q/zV6GQCkYY0SBvhwqs5YlG6VF
gW9Ez6hnS7+bOvvvd9SevUZkcw514UV6J58e7pKqssRc03irx72ZIaiCs3Cr0wra5M17kcqvfByc
eR19fWj0mJ2Ta7K6ElZovNQbstXa89jVij3Ibv28Kmx3WzsSYfCoYTcuZpTg77wsr7ykHqdx+toc
HFaz8cv76WSTu+D3Rm2pdd59rmxxTde592thq0OFrTslVT58L4jxlRfGEzqHWLbaPMnTTDDOCxLR
0Mguzgh75KMeGlIjxQ+mI4d8+9187QKP51h682tKxMnNdWvoClZUs+OJq+FC9qo/FGZnY0T2cFyH
DkKjnGLlO7f1lUeKEGDVC7BeUIk4WS2aGJd/1zGq2Ut6f3mCPXSk3XduV2Z/NVlrurvrAT5IUPm/
fcF/TOieLthCItfEk2Dyobx8okQylLVSfOggAgCh66W5E4Yz/O0maB2FKzu+syCg1tv+2/GFoD3Z
Eg5ACwSFUgc0Z9CKIMTKML8zi/7xqjAQux8cHCxOBm/Ny4HA5hvN1PFx4OQLfYPogzuvNdoA/nJ2
+/d3jsmFfShQNrZfJ9NYZiVE46zWWGy79IBUry1P6M3z9wBsr14SrgBeDaoD8nTJpUNTu1Tba97+
bA7aerbofvXFQYFH2b19Sa8NRSwKgC5MZjqulJd3r1ttHRUqu42t8PBR+tCCepm/xJU+n7090muv
HTsjPjV6paDl1r/ktxdCFXi5J1HDGbL0ZBVi452kt7r961HWVYYVmZunsy9+OUobOTiLV/V+bkOx
0GUbE4EAyf7vR+EToqYH9MsV4uTl5ms13CgH3j9mM4AM6Wlfh94ro7//Us2VEYwtCecnxdKXF1NW
AFKXmTaiJ4ePpCeZ21KE9d+/AS8GOdkNOKJQsbb69y3Vh7suA/KfgTOkz+m9Q99bZ9IX+w5S9ihP
ckHYvVAmnYxk4HcqqhVOY0i8Ayqd1D2SnOrgRTZJFdU4Tfu3H5OxLk5/jIiaksBbDGMA8F7eQERH
aU4KaLWxIo9rU0YcTGWZ+ahZEIKTThOfldMQ4Y2xvX2pK/FTm7Xz1i7rXWyO2d3bf84rX4DJg5RU
WTC9cUJ5+ddARit6rNTINLxhCbRaS7fUCX78/SC47QSYSk6GBAm/HESqcUna2q5o2zci8ecxlV3Q
6h4dzLcHeu1pkrZG7WiNW2LtfDkQCAoYOTPvTZmWk0/07lFzsjPs4azstPmd0V67dy6JXR66cumw
cL4cDZU3ueEDISBOZ4cX2TCrQ80MGrx9Ta+Osj4b9lnHhLyXozi505jEnbBooTK9xB1bbCfbTN4p
x74yCreN4xSzIQ/qdPbAvadBiYvXLaoTX+UjIRVGYsd/Wy9CTUgDhYLU2k9xTncY7jJoOJd494nj
KD4U85pQH5buO/Ptn1WIdRi4izYnbS7oNDwe716F8sFBgtyHyaU2u+bOUPl5NcLEkvpw5Y72Xa3p
4VbFTnhBvftcenX9ztryxx6OPwLYpEmbgLI9Mo+Xz22BMefR663p/g2CVJwppqkK3FwfLu1+HGH8
jF6eHJqBUMR3XsxXPgMOAmiQYdlQXD+tdWtk8ep94SGQKVAX+LEu52Csk0vTiiwfiwz/+9fvKAuP
oOBtIvP8o0XRC6xci84sYsX4/CCZNTunWN77EtZ18uXMyQrNd8Yebj0jnl6WkXMibhweq4yTyIcC
Ux1mpJkHhIDxO6/Qn3eQoVzCDgVnHIqAJ4spnk6Jj5A7WGV2AhGyyskv0JfYePRA8HyPx2IM3/nO
19ni9Or48tjK0bziCzyZiWOgjhOSkmqzts8Dy1P2R4VK9qsi3iAwjFJ8pSAyXdSxWZ0VjWif3n6E
f76uBtJvHR0JLdDVyPzydS1KnPjDSDUFTRP2YOl8x0v2ZJeUPEjwgRhivbej/HPKWUfkvMrhm/Lu
KUy4HZM0EYbCNKMJzquq78/4VN6Lwn7lpbE5c3NOhShDmfXkupoFh1TprCr3PFQ7O8KS5nuhET8Q
Qoth9+2b+Our/v0pUmZzaS3TJmYvQlX85CkagwGVGPmxb8EA0c56pusfGtI9mH5z2t5PeugZRH8I
bDQzqqP6UsyiNvds7VH00SmrVLBoXrPw8wvB8bGWikt6f9rgGxzHgVmWKFcOqCjybD+G9DvPR7e1
E0ANLZyvsUTqckbRLTTPdcueo3MgC21+wK1kVIHTGVGMRy6L7TPulNPvW0X00k1s5W19gIeTOTsC
N+LCd40YWgsYEONLzeKT+U0eoUVux8pFK+Sgh9lmsjS7O7vK4E87bhu1ty0C0TyAOhIZ7iZKsHZf
uDAgzDO3yKZ5H9c5/h1WgOx7UYZAhcXosNfRjcRYzq2xA8Zj4XZEEMzTxOPL1AYqsc26wzi1RMFZ
qUi6LRFOADxkGw2WTw4tR4OZmnOyNVxkz1tZkg1yBhAmm/ZRYUfRmo6WYssVgjy7se/ZA7Au6eW5
JnNCysWoxeRpQIyVgTdi9fKrSGY/QuLAvkxL0ZebvmYnF1hxYSCVctdIsjFcxmK/5i/yCJeKegsJ
F4ncTKjNB1+LgSzvBgq6BF4PXhKdoz11bHbLo9mjX0PCu+MJIAUmTFWr/DxqIndVEEJOy8ZFyq3M
VUdkDKxEDsJ8+9W2H6pkTXvDZFLqiMMxLG2Wktu5WYwYM59VRGvhzJ7b4RBp0M/wIoWYmfNmQrwb
ynDAnw3NBa1J2bY5kL6KDZHKpXqYPNL3tmaZpCScVcZIylMcdUPAIT059OOkzZel4swctGUPAaMp
Z7iUnlsmnxKlY9IarQ5bPdK2eYdqm8UuycvwGee3s3L0E5qEKLVDoCCjbp2jRC5/OmpuHklyG37G
iy6nzewsfYw+tAR2WGSes81A3OIUwPj3zWwSwrxNXc+fYF5SHahK4V0tmVFd4cuMzT0SsoUkRKvD
iNbYPa60nGWfQ5ztlucL5KDIXwBxfenZK0TB0I/O19lN889jh+imdEP7BjLSis0CPUfQLBGvHAHw
YOPUNcYbKxpa1IZG2DQE+aj0Y1Z5zhzkdu095QoWCIE5Bcwfp5Py2nRMhK+V7NJbrBpzDwU1Bg7X
5bad7mrPbctttQwNyTehRNmOpRv7amI58TOAu/invQy6sSETYbokyGshWSyeiAhr0DcT5WXCy9nZ
hppuNV4OgCydnHS/6JZy3ztAX+8H4i2njZO25CRivXXazWD15s/EI/fQx6OOZl6rFHI7tGuc3dA8
tnfo8XW+ZkMTt9KO1KfEHJBz92SBzLxYBvxhFSlRE9SX1FmA+S4SAV8K+sm61ptLU4vKm7JzZb1N
dA36MzFyxgfgBvqPbHFXZePSNM1nHLXe9MxO3C4uwJV10Y4kn2Q810Di1ZeanXk58OgkV5cGjM7w
BlTRNF9Geld/XuDexh8RQqrw29CxOb4XqiyGHU/IdW4VDEJxZhFd5u5KvRzleZdosGAdvhMbraMM
l4tyEGLNXAvt/rypPHsM6M7MHcoXwfVt8kxGxoFFZ2r2jb5EcpfBHA33SivCH6lJSiMqc1yVgU5g
YLFzcq9v/RZzIO2iKJm8r71RGhrdcFbs6CwE2pvcuvhwrHPYE/yAF1opbKMJ4+7BC7EV38QOPYTP
64tg/kisYQLkqFXEckFGq0d9us3YICIozNMsvS/nBcMfK4DVwqjFS5J9DCMIBCVkdISKA8pMFjeC
q+0GTdnZVNGJwKk7umnzM+ypBdwttpWbUPPymSc/6gkzJ+ToNLuZXeAXPjbLbLy2jAhSzShAavj6
IGHgRQNwWoBSVk71AHLiJD60YVOXF6PCYcMUCe3gdsQCYflcLRMxmxUE1kpUtecPfVyyt8WG8cnK
vEnsZjObl48ZEE11HtUFS4dO/ZCCZgyTDcUo5J57mGuZsDZRkwn3EjX6YO4Ir3TBRFhe0Vzjqaf7
OwBunba1m0C407lzyu85Mj1EpjNdr8r3ezM0YMTWpjXOCFpb+U0aGIOZsG1KtVpO0qM/oyb4spjo
gDcEcfGpdg7wIDby0Ab4AkV5SXLaQAAt8CbYbLah3aTUgsHEuz3mgjkRWocOJx4/xZrRedtuPfpt
MzCyV7mm0quYMiZM2KpKPxdOTvSXlk/Nj4mfXkhmrCjT6dKLuT9WGAHc0xXiK2sZ02cEQHnzYWkx
1yAq5bzsm069wi9iu7eBME7e9QzPxDuUmoFtJBeRjhd06Ikq0L0Zv6Rj5SjzYyZpp84G9xxbQRRj
1U7L7xYuBW2DjUl9T3G7XEfhWosc8rCXQTUsiBntsSo+xqUAdkVMbPU5b9Je7Zo8re4rzU6AyPd6
RSOKJM4bgzRbh5UJAiw6pKW11pZNuPhOKorKd7o++4HKBUNmmkPKYEtXddJHYJqLJzuvoUjqc6Su
vJAM0w3myn4KUsuBCqqzIXzksDsVm2ouxL0zlSMpJ3GRYM71oizfEgzbfnXJXcTT6SxTuzErFT1N
emZDbufFupDIob9YHHyAuRVz5Pkm4YFfcFNpHwGyQMqRiynA/tpL9x3KonlnCjV9Hwk//EYJxLu3
TShmpooSOLFxpP00u7G/oaiRf+0GpvFNGNk1oWigAL7N5uB987Q8wRKLlf8Las/lawMI8NzKUwPM
qOW2371lqr7R94E+Zs2CXA62PRiMUjtpm42puepCuJM37vXZdj4m0Rwb27w3AFJMbaVpW4LYMG0h
cYe2Qb9lEdvYdQmjFKHpaPsy7dOHZKxs3KVRZX9tO7uPjnRxEPUU/iw4LLjP8edDftxjKsicgNZW
cgWfRI5nkNdF7Meas/qa9SiTlzBOaNRS5cffynqFBY+8pLnY0oPMh6dRn3OIOMlsg6BNZqC7NzGN
Eh5iOLsE8MLVr68Bj8diY81Ipv0uDIXwc4GUK7AWJwbU681FvwYSsvuRZS+evZFFIQLgNQWO0ya4
6oWehHsY0nBLxZKkT8p2JiipScstKGk57UivqMstRLdM+CQ6F7sUDjf+EpUgLofQPDyZqRF9bDI2
G2dWBPqMDyQcgcdP4yeZuh7YFSOvr7NcuvGOsFIUAsymstvh5dY543lL5gHEbkGfxoO0CVG2jRjA
F70te7v0RX1np70Oq0TG7m2RQbTwR6mlHYYKpybKt7DlDaB6Jz5gy66pXEcmBHvLSJ0vUxSvNUVC
mesrtegCvEta2IfKzMGbEwRsDUHu9AAtTE5cuFmcjnWhBRKX71j2tGshw7APnHhsz6EigfJJR8Ar
mkuawcYU+NzwFRjRlzhSjhGYmeNlWz5S2W16kM9RIElHjAIYsc6FR+aRtU8oLOIx0uMp91NEjc9E
GqTjbgChAOasjWEd5l6Z/ZhtNaxhWml0a06682xpRq62CExDSKmoGj4vHeZgXy9hlO9SIqFNTgFZ
d2WGafQZ9hyGb3xU+n2RMR+zZMxMVXrXQ4yAoV/xstmNCglBaOyP8RQ7ZNCZqX3ZuGV2W4aUqny8
PdHd4kTsfmtNTRfTEPIHoUZLwRl3QKExunsikJUVTT4SDA8FbTwlN7MS4mkitgA5ArGO950OD3hT
uV6KXSAc8P2ABbAeGyzbT1oFvWqTOQPCdmrnEEw9FxA9LOx1Tp3MkUKKGDz4Mq5UcfItNUyyogY2
p/GmhEXCic1qWR2XPrTrLdya6HtZhrm5c2MY1ruKB+TtLFkSm5oNOfw77mRxx+FYfctwlVK2r4xE
7eZakmrjOXnZ+NItUavXfWqyY2mafN7Nc0mLQrazuMOCEnF8mKcehklatQcuq/uZC1N9MhajuJ6r
dA1F7eDl66W+fHVbp64wAJIGHpixI9sAmjvMBArQfI0CaQrL+GRFkK8b79aYLfMBaxmTAzsNssSQ
TtoPzeyyB+lSowkyHC+3+twmzMJhVZzhay3yD4aWEZDR14N2RfI2xxQ7MZLDnHtudJbNknMn5i82
k6Dmsbebbmach3ASJeARa3013E7ejPHkPLq1Mh1fdHX5Y9DT8b6vOu9T3WMzolXTDhdpvOagSozr
Nz3+2meKFjDIOQqTL+FU4U0FwArzS2LN93C7V7RIKFMOWKq+Ddea7TYiGOT7ErfLHWZDdLuRFc6f
UNp2pu+JbLjPp358EoU3kh3MfuXgkljunrP2zS50l0y0/npcRB6rVSxYIAqYhJYuazEDliEgeVF6
1UO6ZKk6I4mDijT5yDjWRO7hpxDQXd2gNvrwcwif5y6yIlgP+MzKOZiRDkHhX0QY+q5sCCC3yBnJ
/bWKD5yXjyTizUynXd7E3hOGaHyKRTyb3dkE4fKSDmEdf83zupG7xarX8oCbl3dIlFGtZG0C/4I6
HQiaptObcesqKs9bdC6e3SMXoOfhzf+bvfNajhvL1vSrTPQ9KuBNxPREDFwaMpkkk/4GQTl47/FO
5ynOi80HqOqUpOqWpu67KkIilZlAYmMD2Otfv3FMeAQDsogWe1Mxh8CTshA/kCQRfGIhnIwnYen7
Zj9hmNrsFAFb+AsraUvcKxWOuX4fmKrsZYEIkX3BI3GfT6EwP/djj0VyaEF/cmYxAvScSMFLbKmT
xOFAIV5lripowwPmYZgnMc2UwMkCTeeMMBkSN9tcl8R0dWBaNjemdHNmAvDXwuti821CHlboV5h1
8BCFgKv11/Jm/tRjAox4xMracKdh8Isxb8zlkeYwG2iy4yjF8jp9mMdQlVFSrbZTBU5K4C2KmD/p
02BEbp20M6Id7tw8sYOUtfGMjUlMeTWVb2RRrtLoCFce5n9hPlG6o1/BnxT7rNaM0CtjXIq5VmKp
GcE05pzJfp8YhIdrVh58ysesI5leHQ3SAYmmPiybu5dlYe95hcSF7mFAMoLmUHcrmkN6Q/SCQnQ1
gItpEfBU4SGO0VORJTKmx1ErLYpZO0X11ZdMKJcxbR8xbEmKw4Z5/UdtgtoEhtk3AKD73r3/r88F
AULzzXv++Z//QG3y/t//9eH9e8HJ9qE/wjLV3+hH0fBQZBlUcNWH/CE4UczfjJULtML0QE64Wv2P
4ERApkLyH8RQoqNguNA2+1NxQlYmGUj4OaxMCehvhFj9DXMGEqG+x51hjGD6SrNg84EwULh8D/yi
LTUwVKrRwNZR81RhLvbWSH34oPYjFmtW2gndQeJZ/1RiSfIphAL+kMsJi2mlCrqrsJrKL0ZVhMel
6qLWFxNDmnkU4idgi0bLZRMg3lUJAIIETY6QlWXOMOFbj2VVemsKGKO4UYlHHWVLE3+YihK0kSQR
8jlR35cRDjhSvrjiHNSv0ODC15ayjSrTyFZXOcC9zsmUoK9dcyIF3cVCsrgZS5nkkQJ7QOrdJm0z
HnUCOJ1ZtlwvYhIBOA6TUTymlYYnA62G2uJ2vmiPZosDHop1USNIZujFewSWpmRnalVco+5aohui
d3GYN6ZYfhNDfJD2dHlZlkSqkN3iwTDiOxYEhe4t8iTv63osMlwkya0EOmv6gs5TV1/EAINOF7G3
/NEyc+uZ9WB9EYJKmdyA+AgUzJ3U3nQk26gXWi7qssPeJeU2MprBBOWRdlYoYDtw0KV+uZXFcnzN
5Rqb2qWo9ZPSlfE7BTlEJVyN58FV4UdHx6ot1Udc3mfUcga5FrbedO2I61TaBzvFyBGh9q05gUsq
yPO5TVX5jdgVJDtZYcBqpVhED+nQjIIx09XXWOsjwQ0UKwdXBcNZHBjGQuTqEjIiMiDqiYozjKmE
BLWQHkoVAoltKGFTuGOnNHe9kpuiTX6UXGOSFfbmUwVwnLMzufxSFU0d7ZMGB03HIgrnhUZb1x+Q
guevaYbRDHy22DpMs0RoNRrE4FkXKuTyA84FnafQ0WZRP8yRsSNqp03wTpcTpl0WYDwZFBrL+ZLl
nkRVOgXPc4g03ibgL1QcClTh0cDV9A68Q+2RqKLUx4B9KsE+W4K4nLbLW8MRMcqqvTkV1F1vBdVV
MU+x4OEWFzNISzsJrKeN9B4CKbbGErYbwhWWceCKlRRjxU9USdwc8DIoaUE2JoV0F6njlYGvfwDi
PBkfsPxZIlzUF0NxUdBXpPiwYpkc5KUCuU/JlD9LWTk+T6Gm3MJWj3BF6Ugts4e27U4UmMGLYRbz
lypC1ugkTY7juBUEPDmgrLH0SuRiTHjydO0jJ4m8jqka485e6nnQwdLrrPLDLg7fhAyLLhvQOn1c
Ld4nezHS7MLKZ6hdTQ6sz8DNsuwPTYulWRd0/B7GmWvFfav5OmuABE95Sb7F/zLq/Ap6/62Cd/9L
wYWrUZdgbGFbUMWVA2uOEf9ygCvNi7oQHb/WW3nB9DHCzsWpZT4KbcoKYhSxYbM7EAqZ9khhdrYZ
G9LtGE/Gx7aISAHJSYVwQ70TPtY4GDznZfwkEl3aQL2OEf8KrDXvZaw97iRAP0gJciJpuzQDj3QA
fDAXx3NlUZzGorB3l0bWSk/OCImDzWXNndso03w3WYPxpVVEKrQoKowPxZDWpbOUaRW7ZIbAj82U
XMSKtzfNBbO8Dt0wS6xcsbtB7HA5zzFvC8gPwYdg1LAoI1ojO1ksomu34Fzg4IAc3smTojziYUDY
Ltns1PQzZmClKw00eACFAE8m0J3bRlGhOypaNjyG+FFzd6XtQ6ExBWQu1ECw6Z5y/yQGcfaaLZZ0
E82jSOVeKVTuWckpdFJw996GBd3cFileOJwW1gy2WHJFFEh3ZTebavTic1Qn2RV2K9KdjmfCF7XH
Mcpek6aICsM/4y6Mgz5zS3HqRmjSSvpZBg/4hLskneESI2ImtCQbDPWU6E/GHMaGT5VOtuVMggrN
6iFR1B1P0wWFAi7eijvRLT20kzipdjDkVWc3c2vURwHHhCslI0LcISUPtQEwBSlQZVFgbIoAHCO3
CZfel0mtr4JJ1bVTHyIu8SD9JTqQep3GdmiWKtYIRG6tRqrB/DCSfFYf1FDqb5qI9hJTVFKehzoH
YlLQKhXHCM8kPwFR0/wsTLXHEgV8cwjFHojNUoJpL9Rh16MMrOTPNUv/G54rpFjhTB72+6iuxr0m
gv3t0hbnNJvGEZZ7SqblF60lgaeZ0U3TtBqDRwtFEl6BfWxWPkPfN15X9KuGOYvqPdPHbLAXJ0MF
Pw0R+K0BermZo0SRvSFbLR4tTusdWXUAFhjz5EAL9fhAwkf+JC9KzbWTSN1ro4fxsV6tjRx9MiNw
83koH62hgoXZSEEOUyNtKBAxG5BOmFFEkdeKffxuqEvwWNF+g97Q9PFHBfI2OHgSqZcgVRm3uB2G
dzmchU+4HMD8+ftrznP1ubh0zefP3em9+t/rcvVjialFHEbd//n+1/br7+Hncl3BffeLt63m7noG
9v5z22d8lA39/s7/3xd/XxM+zBVrwvdPuL+66NGa+GP3/cIQhuZPV5Ofm+I9/9B//N64nOUHH/t9
PSlbWJCzesLNCxYraSe89LuAWZV+UxScwAzTYE0IKxtOw+8CZvE3a1WeYNYqKaKx5gX/uZy0fsPS
XMfiy1iFBvC49b+znPyBRQC1FhIdnE3qEsVC9PvDYjJWQYJJOYxA16fwJlyGAIO+fLgSIm3wzDyg
xi9a8RfMiR9a/F93ylEh34avgVjj+xWsYtUhLcI1ssQcMUfJLYEQxAWloiNquJJ/c05uv7byv1VP
M1Tf0jT+srP19W8oo+HMCUAiENmdFI3XUdFSH2Ol5P3tvUgqxIg16dTif9b/3+5FA+kzYBBFtjTH
65olD3YlHTT/53v5FwP33V5+5EaUpczyYPVYiXCWSiZFujMlDD2iqQv+Hr9sHTYmpQbNlrWajqzl
+wPqeynSG7zBbMOwtN1o4qlQ94vxiwPa2Kd/0i8gB+nUUkAhVFOiznT4YSqQg1FFRiTd+bbvvxzu
7/2D7Vw7juc4+6uTe+U4v6CPquL38+Gve/xhPkAPlFimSndXh7N/3ru+b9v+1cn3Xdc/Ofx+cvnT
dR17z0/u6YpvdOA9pxO/Hl2X1/bukde8Iz/ybv9wOLt7Xj3x4QNvdZwDW/N3Nptk8+tb/JLPHx78
8+HA1mw2Z3vry/7Bd954C1/BdtZ/4Wd+8Wzb2Tt79st72eLt7szmr1yXTb3xLwfP9jy2+OKe7MPh
wT54Dp/xPG8dN2d9m8fn2d66MeeaH04cCd/oft39bu8cn7zj+lbveLA958Zx+Zmj3u9KDt7h2/ne
nrPgH07++kX5bjs+ee+8s9U9bz3eXPb7yzpMDNT6afd0yu11txeHf/75pP+qdfzZJPnhJtUCCWFy
I92d7q78q3Ww/NP2P3+f33zG/cw4nN5O/tvpXNuclNPbm//g29c7vvThfnfY7Xbebndt3/Dtj87V
nqF6vb7eDvXadm72+6PDWWXIXefuyrE5997xzrm64siO+/0vDud7qtpfJ+D6+jc3pK5tMrlbp7x7
9/LhHNpn23u9cUT7V8O2McB+Nmzrvf+bHaWDAY0qYaYzIZgU5/N6Pg/2jlPOSa3tM9PjwzqTGLDT
+gpvPPn3/v16zpnDzAN+uucDB/uG6ebz0/rZw2F3w9/7C2PpHp277bI5c0acdRxd5pPvH7bJuD8e
j0wX94ozdfAfzv46oJG954wx1pwv3+WMXLEtRv/lxHXk7s8un/n5kKPk4FD/HApQGzxCNHiyGG5C
9OLP74cCe0pRUlTas3KNoZ8rRwa5dJW8CM8ZAY9PwirIdyJgXcHHbG84dfJAHmmNn5VhE+cxP5ky
FCVnTEk4O8wKQaYzizBIothCE8S6ZZ2GW+4psausHkOTtscOu+gxgYJBMWxjU5Pkd9GkYqjH6pUs
Vbi9q5U6qcO1m215q2KV9pPT0usnnFIigRFTHeJZly2pNa8aQlulSRy9Rk/RpfbY10o7K5Pbp5Gg
+ugoy4O6xgzxHDWSuXlGWozn/LilxBJbTWJsh9aTHsqWJEsrngCITmyLs7hGzSqtQupsRF2QOUu0
Mm8jfU2mVTRqDx9CF9ab3ZZea25JtjoMnwja45pwSx6pyDJ/S76N1xDcQKwNWmRqZGLPCE268RY9
iCGebfm58hqli89f/Vo2BuQlSPxk7QbxmruLGxAZvGJkqacpJZbJSRA4SXYXKST2Uk5GkausQb6L
2IuwBrZ832LL+qWzQu6vLubwbTpNnYlny/vqCbVQRb1DqiomacI8aL5RN8ldNkCkwU5R1L/oeiV9
Ieddk2hTG7N1WiUbJC32MkxS1RiVuzFfsNHNypio4QqqNBSvpGrOWbX6B6lprr4XclhdWuKOXo26
zj40hYZ7hEFqID7vjYpT+6CLyWmW1Ez3VMrl9nHIyyj09ULFrZ0QOpCOhHiAL0U3DHScOwtjZ9zE
i9hbHakuTTpMutMJ6zco0jK6TsZJFfDIW5TBbXA/fcN7OL0hhikfXapaFef6UGKEYqay4LUkduBi
ZI3Za98PGOwnkdWeBvrAmE7VhFSRriil7kDqvexb+E5n+xzD62f4IFrs5k0GwbEp4bI4WV7CS1s1
TJhKKql1yVsCl/zZXJrCa1DNhM7ItP8Mb9Y8EdFB+x5fKjwXcfIGzMvIDEz3bZROr3U3dJLN0jm/
piyBGKhptfFFTauQBnmNKdONqoWWfEhbRJhOMbbDU0Kr+z2ToPjY/ULWHEhCl98DxzXpwzQwU+Bo
TsLjhBWtDc4J5tEspnCH89+iuhSo2k0KQZb0AMGs1jZmR9RxzbU0r8yO5KmMa8t0IWbKXJEiVqAO
BqTBSaFHnK9u6HPiVLh/kTsmCJh4RapKYEDT4G+wD82+vZNKPGNtBfrQnQjGQZtOKoZo37RG21z3
6AFzLxHyUnSDSVIiv+lwQLOHrrKIfS2NNVJEtqpLsEKMiRjLH6UNd2zJ3bu0GxrZrLGbdrOhlOIK
WNKzB7usU4zz/XiFNBdyfURbVIq03pPGIL/VZWCmOCrmU3QDJlhcN4DLki2vYGmxCCzr6KaDoap6
rj12aKksFuEZKOu4Aq6tCNnITQlkj/dYbILJxmaBCL7csNqR/Gk831YIl04kaG5FHljttpMad874
FfGd6thyaI6Gr3RN61cM1Fd0mCS0yAuxutOguawIMpz/6INVkz5gV2oDDbGM4uABzgoW4XnOmSCm
HjyaWAuw6dYkM9UNlRTMetnway4mKm19hbWjFeCWV6g7EGYdjq64TA8Q4PRPU9sHT2hBre4Awkcf
CRJC+GANSkxwqVg/NVvhq2w1MFLDd2ErjCNTVC7qVi4XjRV/xCaOIhofbeFR5Gp8j7YiW4MJdcq2
0rvdynBi2inJNT0uH42tUK9NtW2cdq3fuzjpXwPuVnAd1vo+ahQq/byfc7Ktqf8jVFp34wYK6GpG
b65esYJhQCrojBuEMG1wgr4iCxMZsa0fBc0AnbYqrArUzgSIGGoreGw3eEJKUvOzumIW1QZfkCkP
lKFvsEa8IhzNBnZw/fDoins1uIlXNARfuLanPQ9GUhIlCD5M/HVzSFcURRBRaPkdTG4IBOSDH+mZ
0LUdVvSlCBkjxr3ub4jx1usDtOf5wcRxGeLmBuCouZ4A5lgVwA553aboyZWgYnCcVVfzigG1GxxE
tEOpcY9v48nRNsgI4jPwUWiuSJJkaIBKG8DUbWCTlAjqQdsgKLo7wFGSrknqjgRAYCpMqcvIFUwt
NHx9Q7I2UGvEQTi4Sfu8uKq4XYp2DHATuHIf9+9wiNSXVhrRmCcVbT1bk/X0fcRUtbSVSIqeW5Gv
5pARHu2WodTi1bm+/SSscQug9RNsiyEpem40adWNzkBO9eJYEIvotPQ9cNfYhlw/NUKn3K1xD/7I
jUeTD7QOZo9HF/wQsYigkwYJ2kCCYsF1xKkCpITnigmgRsvQxlc+yJ14ztTAnYG6W0ekPzS5ZM6S
aE6UMARtUU6C1A+MuL8XIosnNUJvcngK8gusnSTV8UT5X2mZB8OvCf2SDkxxDDHQI9FV5xBcfKej
B6OdO0KSifj9QrDM1F+zqeghocUhO0YnlP0pQZB0blSYotT0DSA9uVlltwtRbWbukmvN5OWRha9w
sOQh6Bu8CtoaMtpciDANwpB5IGWdC74lp7rV5La9D4vVtbKb9XbN386uJ0si5EjGCfQyA0kHPhxG
6TFgIkn+OCbVZNMhsPDJgAK3BhPbjVykH40qB5efSlI2wC/zR0h0ZG7gCn4XK0u1Y8IOOyweBQJP
y4jnQ7oon9Gmc8o79Hx3pkABS2CZguttKAfxBZvJtHdgi+sitT5TpQpik6xAKQrekgrTWV9vhOQI
+YCEd2KmuoyE0X6ENgEsZ5FXUQOm51s6PAavJMWno0hqPI7SrJcIOA4120yN5qXZMuYhtzPNDC4+
CZtXHmJkd5BIv7RrOj0LD+WV9NX6Ru+14DytEfZDu6bZj7QsT0NLxH1ZEYkxQyswnUoYQjDhFM6D
EzLrrxOzyd5U0lg/9SlsG1fQg/JW1JtZt8kmIJtoFC3oESPeosMvluXfV+Isyhk1zDqo/FdHEGmr
1L+pT/Ia57w8Ml4sYofcWmEdNOlp+oud/AUyWXeC2o+ETHyPdOMHHCNXYhUWGU8fHoGWp9SKdlSg
bMHwamLzV4L8zZXnzzrjr7XdD3szw6AUDEouahuKKcoge3dyKZ2puWxqpa/FsvOrSm/VqPxsrz/A
QmSuwSymojy5bw9gAVThv6ifvh/EvxyW+oOGmDylmS4claT/dg49IASgCarJrRC/5z8OkPJvRSBC
m4r5+GXPvLG/uPv9/sto311+AeIotMx/esTqD6qdxZhHbCqooV8oVE+XvbOWl/zgnl3n6nAA7ti/
AQmAdgCZALPsPK8Gn/D9PcXqyd2vMIr74u98/809nM8UuhzM+T607WcOzac+pQL2jkANL8AeR3ur
0w+7w/lw//kQ2p/v141+eDi/xfbDYn8I7QOFPPDV+Z5fP39miABN9s7N5Qgisnfu9hfvsv9CyQxs
Yj8Aw0y2Hdo78Ijn65ub55vj3ns8HPefLndALc4deIrjeRfXfr9ea2Mq+As4hO0dj9fOBfSJ+eUC
B4FYUNcf/C/8DTrFHgFn9ieArdOVs/duqLG3Nz5d+OcV+bi4V3cvL657cT79YoasBfRPpqD6g2I4
LQXASCAaULCT/cLoDOuQvu588IMVSPA4I3zZqxULuAOt4tv//BtIv4BVfvSTVPHlCmAK3Lkv7gNQ
F5fBL4Eo7Xu0/K/XwXpH+/aO1ZFvnK/T7nwAzHC+7A+xzSRaYQvwkzMDC0rCr4Af/GEDEwKF8OrZ
f3AfDvcn96VkVHb2y9WHFQ3hCjrv7N3D7bCOD6DLPRPVuXhgJl5lezfviX1kboM6yrZ7B671ZtmP
3s2K0rj23vUYSPu4Yju/uGfK63H87Gz+ALhhId+qIrexk39+Wy8sLm3nfUV3Ll/P2n+4SP+Q6akw
ff698+03ubf/KjLm68d/7yIRf2sh1oVehI7W4g/uh3/a4MJgQZNDGwNbAIq3/+kiCZLxm6Tr9JGw
CeD5ClfozzaSrOKsa2o0n3j8EoILJPZHK+3261SgC/e1tfb77982WXiefjdlMBM0yfvky0EVxNVE
/tG5jL54HAZEdLmIEDRCOHpReWyNxOh9KZlE1s44738exnp+gY0tOqJZyB15b7V0qGRCTEujkC6q
Mk+uzMNmD9nhSmCB9iwZWf8xbMz0Ns367qbr5YB4hXCgv2yCkJDONtxFKloFO4lgUyysQN2ZPIbQ
iYNBWnMqh3urGsbLlOTFM+q5yIfzOB3NdE09pA6yC1I3bxECqeJOicvsEYgLsYmUzK0/UqLpvmiE
UE9QEhnPcgGNgWywpbsmIjx9BcpGHTrkybKPo7r8BK+M711XxmssdIaLMvq+JA4GFddSTA+mZKiP
LXFUN+oyFcdSFxQHh1DAwXGUhCsVaidAVRvFpRu0oe6M0zx9SKHa7JAoCld6OqtnsJrkBElcecVH
L+kP4SJRjagd8VwvLZDkGuarQJkiGHMsplWFWSORUOmVn9UhnR7ydpAfCciFOV12K7kqmCLc0ZKR
ETPHJfzUw7hUwHemklTcSEH8k/XR3Zjgx4djjYIfSiq0lReW+fQgCmP4qUzXA2RK9fmOiVFfxs7M
diOw1oeRiMjIT/CChOBoqcvVOOLuTpCAJoWIRGfMfwkuJgd1rb+o+BkPNKk0ayU5xdWDPGXPjKXw
U6AIq43+MCez11bwXJx0DqrOEQV1PI6VpKCKiZTXkIzRszmGc+ngs2nctnitwpeip283Rta6KgL/
K9w1W7L1RCoPyNnV84wVoZ3I80hjnIrttsPRefCyZIiPs6pV5IcRmeoSGlDeBX2of8SLHcljocKC
EibJ6dr8Yyxk57EM59k1zVLah6zG8EVSxfyAObB1NjMlekJx3+1KsuQfkbUAtHVhSn760kiGo8Ek
A4Xr+uAQVIFy00gaOYlxZdxF+OIfCnn6LKgBYpZsTJ4nE/mnDsXAEZXcesXOXH8MRqIfbS1X6scW
mreHYWD2DFyrRAcTMTAJAvWIqk2VimtdroU3a5otYS9mOiVo2xUQvETgYY8a3zzBxuC8Ik2FNhap
yfsY9Zl5LrWRszksA4xfpe9flKIfzlGcUQ+GkDgWpzdUNfJSCVa9jLHI7IS1GpyRhyESzvSqyrwk
V8zwKGoVhOauBRH1jdRMjGOrDubO1FEfY6ootdOViKdxjti2M43DqGuLVxVL4+umAP4wWdNOsqJu
OgV6V0yXkQoQQQR6TMdCGHyLwX3HV0w0mVoiL/rjEpeylxTaCsCqSegtmZxwKUOyfcc4LyvdBiY+
zP1aUqe7KlfUT2GpNjYF22K5uDxLj6jRzV0C23e3APnBlzcdbMVa3qLFmof2OkL4lEmGPRpGnLO9
0JQfxH6Y7zKhrzwaw1+0kSzK5zLO++gKCRielcy+ILzF0CuXvHpQlTfQzvVigP6joy1mREhL57ps
ITyG92Nhco2bRtySnCGXyms5gvXaqOSp80OZyxQ1YBLrwIpm2kLqielxi0MafjIRJ5p7raEC8hdt
SEixS1Mh9WM+VB4mMWqJlZyLvDuDU92J3WI6Rh29CJl1hCYz36/h3j4F7VsRBvV73ejWMSzXgDmF
qLnVN1S0h68BdFZtXJoosRSiMVu+rFmo941s+YY+o4Ws4i+1BZ9LFOb0I77Z8MzXtLsQWad2iiqI
qV6zBeKlqI0X9PCt6Y04R0jXqQBDxmu5WcS7vGtTgrmyLWQv6vtFJ3u4zJDIJDr+mKC8VuRac4Ou
PoCOKmd1aJxivSLbpauWySDldzYQxc/Q8LekP2CjofjI6yQAwoJRn0RlYOpq+AmOTeZLSNCxkllz
A7lpj9TDa55gtGULhtlco9bhJnWthcwYxEmDuK9moxaQkUtV5cOP90lNpM6OtTXE0BrK/m1c1mjD
VMyIOUzrNfIwI49GVGAakVRjd4U1OQMBiTNBibo++cUWndhuMYr9Fqm4JO9NuTwJW9Ki/jV1EeHn
GQEKWYzhGstI4qb8KBE5mDtIcQV9V28ZjsO45jkCtGFw1q3OBCQ8XY9b8qOCk9HjvOVBzt1Y+nM4
ckUp7RlBHBU5eTymY9ZrkGQAWyrcrZ73zgI1HfwhUKChGTKp2+dsi6OMGlxtz2h2iKmM18TKLFeJ
UIBWQpBlpncW/nikW4bqnF31W+RlHTe54s2ZQW6cBByC5swgIbOJovmesInlc1Pmwq5ckzSFWC8h
A/d9q++A2LNrHVT5cw3J5Ywfxah/aNM+Ug5BZJFuUq6RnZlCS+62Nulg3ZRbqmccNWvC55b2GefN
cF9vGaAhBFvMARNylhDVrTmhtEDIDC3W+NA0i0kSndKFlkoWDtx/xywS/YVuxX2rJeZyN6L0Rv6p
DRWYaVQH+zBPLBpBU8DF21RNIrpNVYfNHr5d3V5XlVYhKRRmD/MExTGsDq7mWPMwNLOFgMgUJUAr
eGHOafiI8VoxXJlJx82zKoxQdVuMTmOop4jK5QbTNTWdB0KXJ0MN2iceLkbbeqUuTTcUZUS61jhq
Vm5IwDdtz9GYZIRUNVH1TdQG3WOvWC1qrGTYIawg21VpNB0nhSjpIndE0z/ehnkTkymjz9XV0HQD
tN9hNg1P1WuyYBaBFBl7GnLLL0uovC7MOcL90qnSBTJLu8a6rojhIVEU9K9xCzmbCPZAfN+nVjLb
8J9THkwbuy6lG3JdJnp8Zw0cmDdhlbGwVFFwbMQXM3ythwQDkhoZFy5cbLVx2O2cutKa1JQIXV3f
BL2cdjtrbsXyehoiOXlUglqoj1Y3xnswffOEg4EU2CHZwviIg00mBysLWDaViJQfRH3QPtadRKpw
qrKk8Ehzj9DB0MdQPUlWKkwrJAlO4xAcUO/Nz7kEEsuidGZdglvLQC6RAsN0N8KYlmxJXANZI3Lq
ibPtsacG0y2qs1jM2cOAa2OCvAUzpz1cqQlIziwzHU8IXBQS+ikqgqvVhyPQj+kwdCJZbVqqewPZ
Zo2LuBXtcVPRWSaVaRrjlULtlTXoH5EsC1JVTDn0dk/swBGPBXHfTNztsE2bw2tuUPNbErIe3jWR
OB9bGnq6y4zGBsGsP5pacqiWFFU4D5VSn5n4mh8QQS12+UXmPiMMEWIYjQhj+QkHoU/Ec+8bUXBz
QyawzzwmMZHE9L0KfLKznZEMbxgEHmp6k/2Uvetl+2wW+vOsthdFUwIYvqXkKBoc+wyNX0uCs4M3
H+nECLAGxUbw9ca6654o1+tGEnyz/wib740wno+tNB8bzCEOGr1WcQ8KUV5nldTUhyniAotZAaLo
qaPbbmws8WqsMVp/0MTwWCJLdcSyvZ/Qs2tuN2QvkOyZFWFPJ3JkdqZ1jNM1Nmu6u8Dq0lCQdZGm
3yGkiyNkg3rooNeVTR8MeS4emiDI72ocVFW3YIyjA41nPpOP3Yi/BwVA8iho1gdaovMlMaLuy9AH
lnHUqkSmZdoKWCJj6Pmsz9b4sVLblY8wLQmE3oprzx457mg/DmmGMYBSpuLekpaCdtDSwG7sOmV6
VlHCGl40lGpKttu0XBP+1MQ+ubWTfJytWUj2tVWpI34TDdxoUmijAb594elScmwXDf1dri5KdJ2n
ed+52cAa2p95fnTuiGz6XS4jkjY5X9RZdR3m4QmfHJFUIX2OZg9brN7w1UAUPyUpqQd2Q/BZ9Ngl
WXroi6oRronIlIn1mgoj3W2F839QhH/AyARC/vcgwv/N3sPyvf2Wtvr1I3/ImbTfJAqUNZiBvApz
s0v8HThAziQrBqk1ooldNRY9AGp/ZM0SrYORJ/xSHcqMIqkqAFBb9l30z3+Q1fUbxFQd8qYEqgCJ
0/w7wAGmYz8ABwimNuBAh6KDTkr/AWtqMMBJgzDE0BC7++gWQ/x59HiM9e+TutCT6gZzkm9ILEuZ
U2qGGawCMyPY4XtNd3eYC9I1F8D8Hqoimano50u5+zzTw7roRZRkl2gwuVdUhUjGVdzrlwnKxX1o
IgYifzAhVowsxvRKsCL6lwr9Hx4vCT4vXtOWWbITazO4Rlgelg9K3qn3/dwbiTeKw5TsRe618bOV
S5Xh06gTR18S5lpzZOptxVWrcIk9PTV4kCg4RXYIvJ/mjaVAtw3GAmmV+b2RBOIE/d2In4WxH9/L
leeAm2eXOSW+DfIhS/umuNE2WgRWx8aXOkKrQ3ECbwLPpVbCckIeXysywdK9WM1rNzAtIVzIRFgA
xEgSXaCVkSFw2Ydkqs514cnUPY2P15x1iTYqR9ThpW0rZQzFIxgJLkfGrKsx0gZYIFPVkj+/9Ooo
+yPSEmwnV8qIIUbQR9KNSbKRStSVX0KEIFSTWJ57wZM2Cgp28krhRhWaEG7GsFQG6uC3eKOupBuN
pVwZLSg8Ibe0G9GlXjkvWqfmsVdoHSykcqPFDHJVf+k3soyxEWfGjURDfh+EGpThkGvGlWfTfKXc
iEHfuwVNISrzlZXTBmX2Wq5MnRDa63u+0XeGlclTb6QehCd8A3w3xGmvrLyfepYRTU1sQfWAiCbr
RHChKmHFr4lflCrVvyCxEQXbXBlFBOz2aGjUAqJRz+IKS6Asqp7wnZ4IcJBEBDaAYOwAiCXtKbq5
VdvzUFEgdWJsHHEmwiqyLDS8NRCkCpfCGml8N9o4vpjWuMwHInHqxSUYjYRAfNHoI5tDjoI+14UO
Hx3IVstxGhdSZLI2QmIwhSoEN0PqqfPFuqppVcPSsWseC3eLgZqYODPDtAu9lj7xjMYpqrCMUr6S
G2hmtmVUVUR7VtMeOqPgcEqE5sTFDqn6UVFWxhYBI0nvAUR05EdEmpLtRc1gHWsBQKQo/zEwcrJe
YBE+EjeCpl/rW2sfkxmr7UiVxiujwN7mudNjqXDooFYKRlACfOZvbon/Apz8vnu1kv8MTUNxw01Q
0SQs+75H7adM6ORw4XIv20H/JE1qdMhaRo54EkP/KnT4t0DoZqv8J3T+x864bcp4f8Lr/2FnGK4t
6jxgmDDWIFkGLAXBIZ6qvW6EvL6Zg7n0Ox3nPOoj2ZniRD5gOpHt//NA7ObDp3/yQERG+83p/4vE
FwDwv/+riTtC2N+L7jtlxu+f/UOZwUMOE25YljDP18CdPzF1lBkkXMF/hMkPmm0wof54MgKpA7XD
7/9/7J3HduVGtm3/pfrQgAuYLswx9Ex6djBIJhnw3v/T/Yr3Y2+CKr2bYqnEUeN1S62SKpPgwQEi
duy91lyWi2UCO8evLXUMHXCCNZcZPlkqODT+k52RB+bPOyMq1g0pT6iNSQgJTont//9l2pS3RjFG
7lT4ZK06cOGixXpJlKHv9iqFIYIvl53Lo3O9oQxSuZ5lmtEgqFqzovbjdNPpmZYc0v3Su4b0uRYc
UdNdklsA6PFl1dsm1jke1suUxFZ7p9tW/143WSGPIo370351Z+nxCwDggoKsV4gYqnLZw0lsi0cn
LeuXHnhI6oFONqYwMWP4npGaxOFiK+Z1x6lQ+jig5CtKDGA6JWoZauZ2pObU1bV7IKPUmU/xTUx3
IHMnWhI13GHAIrax7IYuWV4U4ClNKMAsop3IoTBy0J0V4FCVtq4HkdPToq8tLe3AdoP5cJ3aFK8y
yME4Ox+mtJV0Q4icudHX1QTgpEEgSG+rsZORH/etfVFu+Ji9LRCFPc+FJd6rokqLnWJWMBMC6Htw
1XxdIU09mJTZXfapqi5t4ExZ/KRnuKfoDGroIRcFNuW0GHkRcnRsT9ciEzdrCfjB17RKxSWaGqXG
migkrMDesB+jfIPQRHgi9pnZVDeqs+aPFuHGFPUAOJ4sPclf1wWtMK0tlZ1B0NkavaHkplIN1Waw
fYGYFONkQm+TjpEF+mYwr8yui370fbS+L2NmvbhWpr9s3rjV02adplRfdeic4nlUsB020A382LLH
ZxUaOVa/xOxinw6d098mNB+PU6NV6aVEzPcz15XIRlJkYG1DVlq7QdNbk6BR1KLvUWTt9Bf5KPTe
15rJdHYAdMenWK+B1OnDlHG80MvkGnpkTFoqgT1kyUIXvu/JQ2v9lEIDVuMknQu7pfLxmlZjm1vA
DJ7q+WgXPnIUMhDLpp9+AOS2Kb8KQ3uOPntOJgIrmsboVDc+Gw8HEDH4HT69PbzRMdJjMK3dkl4b
adryNTiV4wLSSdMkcLoeXKBbu6SM19DtyCUuE1Xd5XHPJoadnv9iNKUkNXdADiNlqUSBtDVwZost
eRa1tk9RcVnVAFOyge6FSxqCDGGumdkHg9Y6FbqzRDxRGqjpPtUnujgNDM8ZbfQY1/JIzh2tRkRB
QMfmdZqSEBXP+AH+soIVwpDggdh0fgrVuPioO0aBYSpKToLxMOYvNUmEkTfWJc+Xtuj9VWUbcHbq
IdbPFdWZaU3HcsVsno8rvK9pdRFgkSd1EblNib0yN1FUSWzrPzHxVkkgVEZxdmNkNw4Ct6Bvl/i1
79xVI+rPte8bwrnRaGUCaJtS9d3rgJP9JY2sBiv66FgPLkfsgfNgBAC9B/UBX6romdHQU0pem04F
g9lUEvQSMXi2G7i8Bsi01ii905q6P1mdikXsly3gLyoAZqD1L5uyYGnTMU7hvQfbgBBoG17+spKm
+qwgiOeS7aj5KkF1BUQrc3kfeK3T9frvL/al3GDhxy9lUjBi39sSBL4caIycMHRnNBPQorIONDN7
R6LaB8TlfCeg0r4MXf95KYcDnGvBIBZfdgg3QrKwiihhjRkWMnPVzRe9SFZ/zMzbHIjEe0yp4qfb
mNmuB6x7bIeYQGFp1xHMEdu5TzkJhn9/A/6sHrB+/60swacnzI6Uhi9ypHhdiAEcRQLQhRwUhrFk
AtpN+bt04N9WWn/xnbLZEkJCSprBV/vlszNyMWajyzF5d60WzNicWYmYaV5pcWdeuk7fHAsUi998
tk3A9fVJUjEswJPmosS+/vlJMpkk5Ui4GWDsWPL8NoT+4tfffLSvReTn8/rrVbbP/svzmpkWtKTt
KiRA+2ANfZzUHu0q79sr/cVdpPz538/zRbBWdGVnZ8zAvCbUvMFvvMiHpuYz8ghe9k9dcAd38f/3
0315Ptw2y812+3TKAXuKT9fTe7PPGQX+XgX/2ydE/0JK+Xobv0ZfzAR3kL/OhfQ9Nh7P9TiRXtBB
D7Sg8kVYeq132nong5d6y8PfvwPanzV5CIs/68r/d2O/xnySYTVYzXbtOni+Z6Ttl97Pk6uXv7/K
dqf+5mk0vr4DGI9GNeMi/Y5jpT+F1d4414Pv4Opf5Hb/+mG+rJ/InmqXgnJ7HsEEcyOT8GH13u4u
Yu+qC14mb/Bi7zs298bT+dtPt60zv7wFRsJZO91u4XkTvmb+7bvYv9zfGN7f38NvL/NlvXbnuMxB
fUIj81/5hN5b6Z18+Df331zmz/q0f72HX1aOCRU0AEkuY9zoJ919ddGcGK/RFcdQgKb1y3JbniSX
xpW4/fvrfvOCG1+WEgfEsFNuN9ERj0N0SAYqAz33RUkXR/8u0uZfNqSvT/2X5QQ7e75oJFCxnIhA
9aeTzrtHaHEJbfQODdDx7z/bt5f7spIYRpkDz+Jyi//KGHWv+lmIF+IiOUZevv9O3bs9CH/ztn1V
wZqgUvp45mpaiaBpjMCCVe1wMtLh++6Z/O5SX/StsEezvNs+GC3JXXLQgtvCR1gaefBovWoHDOKb
fW3jEPzth/uylMh+ZrK6vQUGLzn4Uu7keMDc4Eee7ddhGcqAGbD/Xa3w3dLyVbaZOoou+o7rbltd
flmdR4G96z3h3yVBEqAeXlilVe/ju1v8zUZufllcZsblWV1yXfMafnTjlfd0o06i727rX61hBPxt
Kjuyzmn0/HkNS5p0yYH1skIHU2jd5zu0GjvynnfdUT9E/jfvw1/tB79e7cvr12VOQe+Sq8E6CjVu
qBG47Aym754WfuaL6+6q9Md9uzfP3N/fxf/OYP5BVLfLhvfvhzBXycvwf/7n1xnMP//KPztNpvob
6A8LlSUgD9P+BH38wQDZwHE20kzdoOMEg4MX/Y9Wk/6bTedHd4n3o21JwcmO8csQhp9G2c9DhboT
2uN/0moidOzPb78J+sOmYWlTNG95lMa2Hv2y1XbM51ysqBC98ziBsG5GzsWKOaMKar1XD5JOWOZn
szDvCjeZcSSZNZGxIrMrcjqWyLrrDZNJRAqemNAvp1HynQKn7JIwSAH8e9MJRkTO5GA9ZYkmAwi3
uYNLpr8rJTOoQ4IhcvGN3iFxYjEEVkonsmQwligDPQMIl7ZP1s2MTX9n/ShV/GwDLLXbVjQMR5u1
WAg8cUT8o9ZVMiwVZ+kH5s/mWh3gEU+qp6ccCA7Dgow1XHQHUC0q0VdNpAk24boyLwq9p4+TRQl/
3VaF0nnVkppvGD3dn71tb6IOpwKUvnaKe4sxrl9vVddqCYHIpe4chhVmPGmLsnwEN2MunuhLKz+J
R1sHVF6NuQjRCVjLqa7nEbSVvgZrrsbZ6uH+kk3Qi9h6V9Ypfmbs2kfhDAUVkcYg8UYi5EmgWCVr
+7A49RCFhtIyrF2xvtHbqHpxZ9hReWUs1ZAfJmHhdTWSmr5HN+nzj20KrAXlYK8F7rHUoetcrpxJ
YZrdCObX5HMrKEe9SFXsAgRcNkKMdxGstQj+ZryWKYazyIxlGpTIfPJA3SDa2GtHcWkAGkayOkX9
z7xI4X7Dgc7Iy1ir+TZGUQuiTpNM0QU4KqZ3Qqkdr2DWcplaMjP9BDctj4uVGZzM52bTkpqIZfoC
IWeQlHTRd3j028fOaMYaSSR8lcMgqob1SzFRwMFW0zjg8jj/sIhmMWihWOngC5zsF+1YJPKChNW0
2zuRM2w+clsepIQCrZt1/qa6k/FzUlUJ3H3zbbn0wzjSbW6uVHEwdm3zv8FXNPxeopolmNV0FGRk
b44wrerIAHda63228hJD8ad5rNh8ZA12cqYbmnFdby6zhqzqu2VznlmfJrRR17M35L9l7NWtiU0t
7x6hBGBcG4ba1nZwsjWkWFuMXpQl0830aXiDl5yf6Z82uArk/mU3MUr50amsNgeeA0xzzqeBzv40
08U6X5E3JC4mu0KFUOypn+a7+NOIV32a8grsWcDaynnTcCFsuCwdhFznZSFoJFRzF8OuXfQJAj86
T+UU+e98GBPaceeO6p5VwshO+sHSeKZGRlX2EMcI3aoM/25ky+6FRmZ/mRhtNoQkkBTXFc502AT0
Zy5Ns58nVFDIcSDR0w07jAYPKhCB1QKbl9dJ6amSqtxbqZenXV5E2uI1ZTkFMonpfmczNHFPMeYY
iELvPE1LhnGvm6Yntc3a9ZxcB3X0h7XNrmeOENWh4UVhfShEfdlUiqoGPV3AGiu7qd5vkcK5bxXV
OJ62sh054VSm8WKhaUqRMbrT0S0thRNPVxm3zqQRgVdFsbxaZi2DKznkOBNVbSKnBjEUnlNIk8aZ
oN9ZejNiPBfVoNs8YFik98YiOqQ74A85Rr5GWGmQ1nVreAIN24cDIQFxFjCyjOasNM2QqVH0ANhh
JA64sVnn0gLBije0djeEINhWgokaAD7XGX7o7Fi7qIcOpljEOSDPZmW6t/DHK8sZ7pVsUbpw6TN5
TrfPEmHVlsW5meR5GpaIf+/6Olk7HvlMnfeWMqVMpQSA9mXEBK4wXdRDRtjrY5qPxnPe5gWCySTK
39wsneFRzC4tTY1mwrmwKqHvzK7RnirNotOmu1l3b5qDzasL11L1Y1QJZONVs/605DI67VDr3KpS
SW/SLcDWmyedp0pU+KP9UhmK094t4sFfaX4qnijt+VrGiq76Q6oM5wZKvPoRAXZ8XqH85hCqlk26
R1/cSBCRiftspWwI4eq2MMbJNyB/wYyN7tCndWOTlDLNN2LkpfGzluAMsuftqfGRIKg/HBcitQ/v
vWtvBtJw9kLnayZ0p4XxPebLsoQEnzY/K3tT/ZnOFJCHEldXoD/MLEzYZPtAF0g9g24xJhpGxZCc
p2YWwcUcUO0H/Ob9Yz8m+IYl9ePz0reow8h/0G5VJ8qvkM6mY6BGo9Q9bW3tS1WbT5RyXfgg69LS
PQcqJwMxFhAmMzsmqaED6vQ4WIXzMGkFMkrowsSgJaXtohrCFnwlBztpQ2CvHFsKgMdeFW/LNjFz
jYmkaYF4aSGvdkJUPvSQxzWSEArI5sOuWlbiieffzU/SKequocszRug1mPfBmEQLWox56Q6IBulr
i0Yv273WdClGdLMzeJc7u218uDdTtkdSVQXkKxUI/Ga6NIQ/G+LdzUWnh7U1M5FQS7sg0BjG94sy
DONT5sLt8tKUbAvSPKo83+lDXuV7h/TX804O6BAa0zYfjKpQUY9agm9qIc+nphiJGvjlNQIuXlyC
IJD+wtO04XAyBxgmextUT6l2YB6uaYGMinENEVsZPYrXcYCL7VJnVGTL674LotJhFKbU93yNFiP3
zNUeUqXtnaBts8RFJ6da76bNgbSwcUxjf39m6W+coDCT4a0lJcBmUcm7WwfBSuE3ulFjJFgRq/r2
shocDAa9OYU2khoo34Qpd7kL390HX+LeapMtZk+DfkrHaoMRM4zo1gs0XVXvdYPSPLOHEyOFHNG5
TqqKyVm2boXQtBQruVsSGTgJSGPysE4ma81Sl8sQ2uUoerjTLXvbEs+LgtZCQ4HPYs64yWB6/lQt
qin9agsrQ6pXdk1QTRKVodvV0xKgnazcYBRF2gH1jTLpia5GS4B5gWbDZHEvfQC96ZXqynYnIRrU
wTg37bzjfUHSzm+eNl4qRhaZsU5GQXpXpL11EclWbLEZIneYldQFht33D3GsdLBjMCnnpdXrm6ZA
vSW9WZt9C7hBHTQW3IFZz5eSj5OBsRmGvj8ljnUoPSGkelScob8uNJztwZx26g8ZT1XlE19b1UGr
NSjoZ7NjiQQjNF3XmKJVj+q8dU6ttnZ78DwVsFXKM+opR8+qV7HaFKabvVonr8uqiWLQq7UH8KiN
12UzTYpfU9fKwI5W68SZUWzC41CGlvplGqJgkOhldIiXrq/pU8x511r185V0L+EZyVgLf5VJM4eq
VVoXMNnLM+LU8ZLPc52eZFyRwZfbEYJR6Fr+DNIDDm5CeY5IE9AZWsYceHBdsCJhKpfq66LYzDSH
pZVIoySKjqZv6x/MBDUZAsiFuEEiRyZ8w8xX8myXVNuRzSChRY6OtE8dHOVnap6DRu+aSkcLztnG
0zM7JQhHF0uG4d1ZE281tsclsdbszWBJeSnGcTT3hqYOCjz8enJCokxKHpOoyH6WRYpakxfWsgN2
t+a816iWDu1KhA5Dm1h8RBGVKKkKZW2HDKpZx+N1Rq0/1rW5n4ckZ6DL8Zsmk9b1yZZ/Q3GcxuTL
Z7JhVoflyT0q7TiBIlJnlqhYb5z3MekHdWeIEvVlz8zrySaTAgaNAqpDCDd+jVUToZQ5jF1zzgbg
nGJ6qfW9Zo9rH0bkGRDGspozWwAb+ou6qjz+WYvExNMrRLreEiW2iwsEck+Avsk1gWzrxuoXNupo
3AV9/U4bouxDUWjUHmrhUHNj/aC6zdat0KqZZfsO4/Fkn65Ya3z2dmLKROKS+tXnZWajHmp59JCv
GUC5Ydk2J8xfp9aPSyWXBCs15YlDueeGjC6cCyufqE1YP2YeAvJIea8UBPEeEgnZ7nXZo4lBb2Aq
QUoyHZth0ljG9YCkle9x7JWdiIZyb3a6uqfK7NPd59H5v32Ef8CUF5y7/30f4ea9lUn9/qdGwu9/
5w81p/XbxjKgMkexia5zw4L+ouY0N2Coa2C/RNdCs+CPRoL7G5gT5CqGw5TQMVFD/dJI0H4TlsPR
HzS9ICZc/Y8aCVvT7JcOKUorfi3MpvQm+FnwFv7cRjB7d02FNTBFSlCmyKWLQ8J7vmtzfXMV8YVG
gGDPdZp5bNh+C8IN2+yJjImnX+781e+/86+GVk1s/fivn4U4e1y1IEoBU35pEG6zI3tdQKC4rLFa
ADCroj1ilcrPsnKKZ7QA5P8lhWyfTDuxcKGpU9fu85lTWkBs56Zoi4tBOeCWgKuWbkrCk84a1kfd
aZfUE22efVBiassPSOsNwJc4AxWUj5gBkJ7ndvmUTqsjjxI0/Apmvamaswno9WbqEZtYBlsRUjnl
UzZXO42KmmBT09mfwrr0U2QHUhXB3RSrMSPvTyEeWc6I8qJPgZ72KdZrP4V72qeID38xgj7T2MR9
pbaab/Wn5G/4lP8lWS9uSVtDFGiw3dKH/hQLjszCI04ZaAjVTzmhuikL201jmH7KDUGoUOQUnzLE
ZVMkwvhGnEhmGkJFwnYQLXLCQsCI5QMxY/wpbByUDq738Cl4dD/Fj2OSTo/VpySy2dSRainToy7m
PgfutrrnVTFYDTpLwLWUHk5xHOsMx0QB1+4eu0NLWBXz6go7R4d/ZYklPoSO9E7DXR6gEpHoVLsJ
iLq5eiFcrr/VCBKQHNPU+abrlDXfk2IYV2FbWu3kORiL1RBtpF56xcjb4HW2El8ILp7707jZiDFS
oUWmkN3TnRIt1OdluoiHRk5nhtMVAnlAgjt2UofsPiGolBKEBsV9v+B4RcfRDhQ/hWk8zKRokYyD
a/RGJwHzPkLCQlrUgo4koKitzjC4QkpvemM9MfpIeagLN+d5nTsT34mpum8oriIUN0WPnLmc8vXa
RCKGJ2kyUctIUYjYb1QzIrhTW7Tc72zDvekKZXiRg2Y3vkZvrvSsYTQ/4AVFFIK1hpjSIDJS4Uga
S85sslN2WjdQaPR90cdnaNsSOkoVR0jkMc71JJyOQEAtsS4WW49b4N2rNE8j8qS2UwZ9P38elOEt
caY4+X2Y8t8d5R+AALZO7b/fUW6rN0SQSdn9aU/5/W/90ZwWv1H56Ba9X83a/hcTjD/QAiodaBqA
DgsBAEms/f+7p+ArsEg0YcNAWWMYRFD/sqcYv22qjO0fG3oTToH/pDlNusk2Xv51KQZUQGeRs6sG
EJvf9ctYQ84G2Yw1ndBKLPjmDScm55O27o5cvn6nS7ke8QroLa+ik+G/nBV5Z7HfXU7j0P+Iuhb1
Novlvs44osCIK/dxEr87sljJodQdlNe4vj1LaSzcxwK0ZsZyFBZELe/UZBof1RiyUtUWDUd8g7Vc
jMpb4mrTC3Gdu6oWV4s9qkdwntVpIzX3bi7ko0a/+1mg7LuFoxf9gD1aXWA4055MqQ/QiOr2Kncw
TMno5+Aq5ZneFC1umdjZkXdV/QSqR2c1J6NxNxMWfOl2uNB72JOn6agSyahADpxGOnhIYSmZ4Sxw
7HIH7TK33eIwDVZ2ZcysGFahtX5PH3yHFr6DIR9ZF7jMV0/WC1G5ed9ex+Uz+qQp6I2R+D6a95Su
RADWGcmfxGDSpk1nWrhq8tCqnAtzY5J3i8MqGzPyQFBWFCeNXRytfLlEIS4DfNXLflIFHrx4yXbz
zEkBm79rBoj2EJfM6WY2z2yDHzyOxzQaqjCfx5HW32AxawQUGnSV1hCKGNmhHUG5Cg2jt6LQJoQw
f8saZ2slEpJ2EKXRUtXPS3q5Dpz4txjCSHFOqGE5Qa1lcgtpsrgEDNND7Mvcg9RAeoqG2xOAEyh3
NUblXVUijlK1rLbxmBaFsZswsz9gh4GxZqtS9UrTCtsIw4djc2rJ5rDl4HaWpW9a+0oIp6c7DJ9x
YB6ElE/m1D2s2moz6rg312SfReW+iYA0ArE34w9gVycjnU87095VWdwN6XZ+M5JjbhnHxC2PsiWk
z1DOi0zdaf18sVTyR58Vp04UnTZFfFgI0rzQeMcDverIECO6pDmBPtbsGjpwgTDboFhuhiTRkSYt
yvVA1MsWBFLncL+6pLxF2ut4OY3RcEydc12xy7Dj9Nw45cGO6Fyl7rFv1ZCty+N8sJ/18ck2kv3U
ODt9fB0i81oRYdZbP7hJ0fKsQU3wnGiMvEntMYb3xs5KenmxolLkOdyrKA3WotpNOamHW0c4mMfr
zrLgz7n4QAexHwwibIcK8lnyQOzjAa9L2DsAzSzr3m639tD2M0RFrk9P5C3+BOcDoq8X23UQ2wvU
BLruQ6XtOaqPQeOmd01tINqM5C1G2LMhX1pfNZv6I884fjnKlUlIZi7cuz5x7qiN+M2jSg0TpT5o
vXpu1u9JLDaWnwgKix5Eg3EHt/1mY2BeEGbMT3BBCOJ9Kkye+QfWIvW5rNz83EozssfJyPDs7kFz
k9CYStrMyoEMIHBx2OFzqyWsUv9Y6JjvY5PYeXHdq/Inb+1DLA6l2viNdC8L83zNjHdTQMBT5d1c
QY2jBUYsaalcdhlBj8lQvmi5kiGwpmCc5vQH9mjNp7d8Gan6eeQAMVGJpfQU6VxFWvI2p8g8O2u6
At5wPQvxNMzNgxhJs3Bz5WzFKJU0PGU1rDq97K7VPn8iR5PnMzuvFuLW9PLIoTocJABjWeHbhd76
KqfubWr7+4EEdlgSmeUXucJYzX5R5vhUG/QDofH3OJbunISaklLlOSqZ2UwznnxBLMzSOdcYevbw
j3dTMlyOg4UwWzZX1cwpt4nT3YQ8pqveGL4d7Iz3e+3UU6u/Ak0SlNXzXI47WuNn5OP4mfJozI4/
tGARpbO+RBFLjpXuXbAohhkj8FEH8nK1xG/qi9jVNkdTQEn+PCJxf+kJY9UL8tSzuzo6VVkGVXX4
WKz+g2wfup+666H3RTYaLR90r64R6F1bdKvI0wA1mv/sWBc6GT9HTfI6G66vlMoV+xHPbHyqlAzf
I3RopqCr6BKYpUgFF35T+AIIYRN1b02idjtmsA9LMV255bwjZvXOsWafMPjXtcrDygXQayQNuX4K
PRuYzEY3jYxSR38V48fAVChd1ftFkxfMya5IUT/OK3Vfno2BXdNPHEai19Upzo5p11hbt3fyZ1I4
J6Ukidhl4sXhDY9QTvotoS53KJ2vSAI8FAUG1Vzrf1pldDur3U+b2M7TIsUBNrl4zsemJpA+OvbW
XoG6umF5WxoeAWNLwqQTa9pFHWmmyXoU5XnaEto0DecyrX/SDZn4z+nZ3Jjc5AIvO6mgnpuUIEIU
bN7q1F8kS3WfFPWxN6NQU/kmag3D1cire6kXPAlq9aMbaG8zlXuYi65/UCEafNDvJROd/Cmmg90B
q1XhLVWLQKgmZLhhqQf7O1+wyLxpSX6ZRZpyPWpp2MVMLOzOPAXk7PqWPnKPxSVbuYH1MPZrkyF4
lz8160/RFiG4I28cbkw1Pq2wzUZtc+MkBnk12lsaqyXwBm04kHNNoNQb44aWBxGPtiB4VDGCNqrs
g9G0J5B5zcvJ1ORh6p4JdGsW4Ud8115B+7XtTd9CFM94FATqRNyL21x1pjy2Wn7QV7mL48jPrCeI
sUfVineC1hLOai8fr8bc4cxRnky6vHSxV4+Mq1Ke31x57Ei9jONLIY74L+jiUd3j9Ic3cKJHGD5Y
bLWc78/VqRzUQMYfjnqVwInprXwfu5FvjPGFWr4BwXkSdIuI/oRVJM8GKw+m2Hyo3IalGKDPjJc7
m56tNfdnKgta16NPS/wCXOUO8fFBAwEFMoSDH3lBNrYRwzgVzPpKmqWmSHZQO3axMVAIFI9ZbhyH
boG7YJzXWyabMz53qXvKTAa3c+S1mUEunb4rtcgnhuhMiNe0Mq5U0rCaaQtbZ3OvtOuYR8UwPggB
Y2GRJ7VR+cxbRnKZnFWGhS2fi7EOUvWhW3l1uvVK7/PLtuBv0TwLaX37NY7REu4QQ2Z++5KwMo34
6tYhFrtLSPvNuls1H08yRz/OIxpoRipuXFU7Zdis2+ty6BwzINZ1CElArs6pLRk/xnIghTLevvRb
dqRAUM3EQOFP3dKO9nONwx4x86WJ0dSKXFzZnTghnxaPhWG/WUl+zhmRCpZenScH6xivDYl72SUZ
K7tC1e9NVQshlJxHXc2K6HiN3dXntmbtiJqHNC8cZjzRdOFArzbjU6gKH61CseOLAc5ytGBcazqe
f3slab1tk9tGs/Jw0jjjKWtH798hdDRbSPrzmSMFoPPpPfLHaxk0WdOCxjEOWrKPknlfCu21q9CW
6clxsvExwI8YbQl/RnlJkigsB7Z4UCmnKN791CSgvRmLvdraO4ZBXtcamHfaOejqJWwW45whxwmt
iLBrV/gE7pHSLjT1JECZEdrOOZPrwKAqyec4VBnLUTKbvqFFTyQc+loFsZ2Iea0kR5iuw7433yPt
UTeokhieM5BWBl/vk85nuIatJKcPa5G6Ik2sTj/q4YJq1h9FvuFMAC4cNGs8GIzU0oXRFR6ZXSY6
QWUrQ/TwVBL6QWkZBGX3PVgDdA5nBjaR0MmXwADPk3BDssUZA+ST68Gabov+sV72tXrtLPfjEh0M
zUDo0uzg5kN/ccJ+QDCjoBsYNeMh1Q28T1fa4FZM/N8d0zlUDPZJZ2OYme1ji/PQ9BTP1n51nfuO
hVk6HzrTkjlvjlohlIARZBAnOgO9Okgo6c1po5+Pt40Tb/4rUG3Yjlaaevl80gFrklkCIMdiEW5u
YBj0IYUwUBklEZTm51p+W7iPaXOkR3AhcsYeQCQU6YauFUK68PIYODqZa0lGQGKZbXM6Y0oYK/FD
WyWMaLvpprZzyto80vRsti90b7l6sh/4FwV8QbmeIqoJADoVJ3XmdEGXv6iF/dTxwttZVITm2N6U
rPtTu+UM6oGuxVeMYMtbramWm7iKPMu+pMV/3mnM0fVyZ/XLnrfgGNcF8OF2OlqkqfO1y/K9ZVh8
kHkVWqqBgCU9LtgnOJ17cMh+dP19UQCYco37PlG9TEMYosEjIiv3NjKSUJ349vHqZsRsN+w0+1ab
eAiHycPq2J0xQvQWo993wLx5/B221V7esbBcQ7XZI8TZLLQN+C48AJEe6oRbuzOZwp1Wd0G+6DPF
N739SJCPkCxwtjVIZtN6GmXFfjRoQw6ViUoJ4csJLBJvhdiQGcVMIq7tCYKKdmvfBoZ0g2QqScOO
HffQtw8tA6eu1E/SMQ/xpHkdrrAqvjCYvxDRgOCbgG9TsasLIalr0MCwQ7Fs6Q8r4+TBVC4wmfEO
u8FUonwkDJcGJi+ZCIVCAh/p4kQYgf3TK2p48Dk+QgJSEHjv0tMNPrKoYbpOAbIHCUr6opHZmR2/
jxj+hfk6KE/TnOR7NS3xmEFWqsUPIipPVbfBV1aFqbvcNEBX1PUHqeJelL00KrPY8hDxbeE+9teG
zNFMGW8qV2cIIqYD4VO7NsYBz+YdrC7m/2o+ajRgvVKuw7sy9ywv1RCOuKOnhTC7StG8whqzyy1W
QizRU2Y7x57qH4nV3gUEhuPJ9pgU56f2bJzaNtVqXSkhOqHqxIlbaHtDRyoIC/UiOuZnHGKhzA2E
altw0dJdK+bIDDle2PLUkilItUqbm9ccGYk5Yp/AF56UVjCNaQQpZEyL+yXqBu4secFoa96jyTmT
WbZzZZIdigb/fhqZPIGxovZnZFjbR7ybKCMK/OvlIdaGQV7OQMe7a8ftZi0YldpWTupJPSHfIjDs
eRcB9R8QlFgU0VTiV305cKh1QqKRKSYz5c2yZTjHLR8beIGgKTzrC3NMEhWsfJezdUfLweBBCuuW
yDxDdfdFPvA4x5iime27I8M7EBZkoqjCOInagj8+TtZD0Sftq0WbINAbdQqMqM8fV1RP560RFc2L
RAsxBV0ZWdnOmiG9rFZVXxYlJrOwmVCWBM1YJjJUUfuiQ2CtVdHknJUcrK7GOoVihGHyslON5HRi
3PZz07G8yK45lqkh0lCQbYr6CMlcifjhIyU/IOgMKXxb+b/snclypEqbpu+l9vwGOM6wjXlSSKEx
pQ0mpTKZwQFnvPp60PmrravMetH72hzLtDwKERHg/vk7pqbPCmC+GKXlvEaJqYiaG5yTkyqkNBWS
o5wYhO1YNsUu1751IcjuS8H87mZDPHuNLg4VspMTnEr/QpM0aXHmiG4XqBq4LrwYvf8yzK2z66OC
E4xiJ0H/lH9VPsCrH2Nh40xfnb1hQZW8wvugsgIdDtPl8DwWgfeR2DA/SPr4e2via6Uuo6+flpPV
vvVUcDG7gb+ag3H2R5fTABFEDBBeAHTfEjB2yboIwMcnzOZWpQHp821VazIFYRGhe4MrlYj+VevE
vswZW0PrB3yEhNDdBWXYn8qpJgPHfRauqGhl6NxD61rOi29zHMuy4DsrF0kYT7J5cIbUPPhwC+t5
Hn4DczWPZqSHHX08y6WX5BDOpb81q5ywQuDtvU+KxdMwm3CjWbJck270sW1d/sem5vXAiLZDmSJl
bCdetQr68B4i/pXUBGL7F2Op2QvG9eVXtqr290Pf+ncxmvud183tgZZJ0vdkpo/DoJmhl9/5E3np
I+O5X3Tyd9nsspJ6SXzz6zK+KadvDzVRVusxp32+8b5NW/G6A0kgQyaI37Rn/w7NC0GbUbD8UXVg
mYpfO/gD918QcCl5P+wqd8kFFUvEY8KFtiTy3VAB+ft/3in6lXPYNCGQhjPu2zr4bmWc0uu8JGDm
oU0MZmHC+XS88PLZoj3lA2lSHquC2lLUk/62HUlpaBv1MAxxABQoT0PCbO8kY3if1Vx25bYcoqlY
FgwnhsW8Or/Jrhj2ShnQIQVvTHAX1VNBAlMer4eaD9hMDCgg4Wz4VPGb2MG3SdQiUaFevq/QRq/b
KOB+4Vz5npbm48/N9HMBhKp9GnP0USHYwlIx5o8RtuR9FBivQ8iF/1xcZVC2khVkj/58QE7MqzqU
9HJoMzd+QLQUxCencYDDDMZp61BteE9yVnLQGdqhdly2deEyCHpjcCH2TG39JXQtn5Nox/fhKj7s
yqQMuaWPeO/0fD00V38Iuoy2P5cJQv6N2fwNMSiXueSskq1Ubtp0CC6Dit5+Lk6H6UDckysfeeQ4
AzlcP2tL88uZQlaLnl+C6/3E2lvuokqITTQsn8wSw7l8foPvnHBbPZT4Jess/KbldVw5xA9ydEAR
6fewYlG0KCQFF5NxIbTSlGiijNfGin8bburhDjdYDyku2jbLze8jBtilPPDcT8a3CMLXlrDAjWc2
w47xjLMbqODKsY3XylrwWZ9fZpbOg9+V36EfoSJj/ttA2eU02dT6n19PaMwpQzey/XmXBH3yCsSS
Heyg/3Q0L0pRFg7r3OURH/tKryH76ITxea++IpzWdHJ9LDUPNZLpkh3CJCEmmE+ZvbzBn5djyfm5
qmbsgktX5lcjnup9WS/ROssHUrXKPGAA5Xtc3mE1k3Hrj/x18Pry5LR9/jjQzrUp9WicSYr173yp
/b0xNuUpGyrWi3qIbz9351DP4xf8ePOrsoRxbiOUF1HP7x+gYO8iAVb981WTKhAgGtPdFl0MSilE
H/r480RFDSvOP/REMfEKMVEHZLRwFwed8cRxCRQibWn7aILaf7Z8BGvousj5XL6KoW74lwipEQKq
qfmVG4Z365IPt7FB0mUZ7pIuEs9dEMkD+ir1rBGMroPEsk5psAg1sLJcRrszfwVOytLWHRaIXdcM
oVFTmSuHKo99pAP31syFsdZDfU8ycSD7He7IXVtHj5Qhc6I3plXYkQ2omfp2U9wCUaG8IRBxPQtF
OwetGG4hzsobHwfd/qHG09oafrX1W3zcFhq+XadyjPZ9dwxnfngy75A4Nxj1y7PulPEa08WCbmk6
6SytD64FHlt7DZmief6ATEvdK/4QNMOfwO/fuzIuEVK3n5VjXDom3pRTkNOpD7eLHnzufdj3jPPz
dx7eAkC2dDB2kMZvnXD+wC7AibafrGAPgki991zK36WVnrPIOJZiXtn2cD86FEihVlyiOQXxdXR1
Va5+H1UORlvLiuW4RjAcMCaWN1Rat1olvz2Et1tDmQQDl7rZwwMfyb5GvSfBZa23saueGqcktdY5
zoG5g1m+lYR3iEG8xK57lJ3/5rjVpaG14oZ+aWL1LZt+bYxgS1GIKIyD2nc9qEMGJ7Yq2LBAbJSD
CmF6JWCVpzEK9ovtgY/Xfm0CDy5LwnXw2NFvkaICfQ1K8adLnMMQhKe+tR+JAt4ZNJ6GpD4HqI68
hthRk9DmjEi3tWupeodoNlqXaY1SnV55Qd90zORDtbWvHbgCanV8m25xcxtDG4SB6Z8raT3KQZME
WVrjNm084uqoZsZe/kqk0a+RHN3NREYmcy7DcZPVmwRMbOWyWKF4hfGHysDGIdeRyTcy5MixR2RQ
flJbm64m3850icXs4+q1adWvoSaesJv7dKuMIN95SwXP0Ehn1bFKbYLB53hcpUAVGbJ6MOy17uky
kdk4PbXdhxX6G6l4N3S3eJvOUHAQiP1PQT5mR4te5QPUvwVfnY8vOcP2B9F86dGYRbeRkssj0rxA
7EQ0YeFr2pgGWlry3u/vsULkaNJQjE4pSY0FvgdK7mcUrpVAUVVSPWa0nLGJ6eh7xAbQkXRnGbXz
TIXXN2xPfrJCVJ9obulkZ6XYOTRGne2561cMee1bb9UdyRp0fFcybKgTouGIXyD2g9tmf2mNweRF
jDBnKOKF9hb5FVdP9NmvRBMolUIhxYBPwc51Odq1inC0qi/J8OXGRqzXu96xlVa8Q78oXiPfbTdD
Q7pIMvgknImxi9cd6r5tQ+AljrxJglaFuTi1WOd29FbxZcjI+qDtq2JSy5AbNHldb8Z4rH+zrGIg
6M2cqKVYpNzDqflBySLFUPggorOMFLxXrJNiFzUui2jIF7QyCm9etdJVd5p49d04Td5rGhBYO8a+
POWiF+QpoPhb+YpnN6+RKE8dRo8Vim1ooogBDllD7K0S2/pwYyq+SjYfhv6xASwJq/tWdoKg9TlY
pXTZrwPdlrS/q+gydjllQfQEfSo/zizOJKRFmghsOJLbv5DXjN8w1PKoKrqkfF1gZIH3lihKF63f
0JFZsqJrU2yoNtNHU5Oysyc1EqDB8dIN8qL+6FZlPCyRqUyApGGah4Qd+BJGQfgrgz75zCwGvagy
SEjPcju4OB6D2zBSo+cQ8Ls3ZhU8gYgiSqnmQH371lDuoyQR7z8j7zA4DMOlCshaD0jZfm+1y4Bb
pXgXpDfQItVP4xxt/hlbSWI8+7PvX52sZa/MskRvZ02MzojuY94uX8G6MtgyAbWheiA/9a7p8/Au
JStWrsa0G78jy2Ztzlr7mkV80ZsqJAEb3HagMM7VdBX5RL/+GsZlJPWJFgW0WwZtOukPmadJvTez
DrFjVDLjo2nOH2kPjK5VxneQzyLn7indDxxG7f1kG/oFnVF6SeowvJvcXD5SulUc0DS5m6Tu4XZy
W86HgKAceEU7tfaz3S9IdZJA+dmDT8KeKPdZxt5JZBFi/N57aY1E3eEnCh+amaC1eAYQj1QS3RPx
x4y9BCWbhdvsTC1XXRR4j7bRzndlB48OvK2DTeyKErBlKgIAr0TuIa1tAtI6vw0o14ozwBHZ/bVF
n2zixkoPYTIP55HZmvN2Me9aGU0bZwSrIoet3BeVGz7Ms825tjTbi1tmaOp9YpeB9qzW+ga+Fhen
sPIHyN8WPN8OOF4UoMm03fOIid40rgaU+D3GD9/cVZB8j3hC8rdpwPOxGmuC8XNftO8Jfvc/7RgV
e+wa5NLyvvRr1jlk+UQ0LzwWuQwPoSuzPWE98k1KA7ZWkbD4nXsmme+951v3S0LStozc7A+uKP3d
upVNpn/RkJljdu2H5enIW35nc0Xrbp+7QeGYgnbGmx3ILtmVucwO0hogjhqCBpEigz6OYR5d4qjy
iV9tx7RcOyroLtLrlzbRyB52TcZTsaoy6f1SRqou+VjX/TZInPSrtUMQBAIW6/1U9d618Hv7MyD+
z141dpI9eHFsk6obUS8Z1WJBc7EL4WpWJSOjHrh3TWO57ZfpXrlmdrZqkiex22j8FW3t8LD4wmSX
JkTqsaxK9y7nCXYIka2o5zKhRIlibIR/7cLOe8gMMsBFOoYv0HSg8oz5d6FhpLtI5ZgcwYFec5f8
36+AkzYnKd1Z9qVajiromAftX/205qEiJtiY2TEpbz84VZbjEBIjo4kTeZiy8BoByzH+EmxRTxnQ
mfC4Z4SRNaegGqx3z4rBnFXfEKeN4N1JCfWCami9Ubek2qZZcampzPgm2nD4RBKXPo+dldorY/Ai
d8MkJhEG8H1yd7GZVBs2IeOF2MgC3sYMOXHRUgecCDRxwilZq/VIax3CtdiWFyvjXVjFMD9kNaqK
Vd6R34UQBxE8ezVwch/K5m10QkjOFFUzFIKVR9+Gtrx3mibndWjjVUmQoNE6p6EyOSq1+RHfVXlk
qX2O2/E2qarGklc5au356htd5Inp7skJw+qW/eDsTnSgNwLowk9mUKYecD2hF/KxQO6e43ybvpy6
e5hm27zkkQFSSG1nG87+sqi7mcsRps+23KDOJhF9dJuyQp6ayu73Juny21778sLBx725NC/sp2RE
YNTF9Y3oR+fc15774bm48OplMaqDZbCkP/M8B5n4GukI2Y3MFyfK8lCEQK+G+aYf5Gcyyv5cDJ3z
G81AA0MjvRnJNnHXYqMN4K2DmxTjeAxG0cWU87maQkrC98f9oPLyHKVTVG5zw7OfFOYZveXZ6y+u
asmSFoh5wNpd7Eqyr0zeH3GF3iaLgPQpV0xP8yB7sRUhHcd8Ae3wpDgS/JZtM92H4Wx99FbXHyZC
4KuVZVkMuKFnvyKgxwg8tVklMMDZwZfg60zwy1BFzMX7j6xqPY9h6enD1AfTb4mIi+hQ1KUcD9kA
jMPsxunaXAohLXLTV7ihYVHmJAzTfUGrZboO1YTOMUildw90y/A/9qrn4+TqCaQDYXZBQE6IZdWL
7uP4M3ITwq1SKgZWQwGY5ZTOXaql+M0y4n5hvAs8MieRZ+K2KT5Y1rqHSPT1ZSIA/Fdr2hEzW2T5
a1oxEM4EbbEb2y5KcVlMNb6GiiENbt/o3lQFsrRCydszC7f4dvxGHvWU6xN6zfKJSl3sPkFRkM4F
5TYtnc7ux0h97ZMwpPnoIYF4Dyx/3vZm2V/bcigeC9n7B89tphPtK9XVIiTsDwL84DzgB/7rQqy1
MKuBxpZJ38DAQewhRBBKClwYq7Xk8frwCDzdj/hLrjZKLxpPSGTaJGSwXkY5RHeoF5CyUjmLl67Y
1dEcXYC8EZlYxKDVeQlQ7yUCxjZqUwJDUrHugvndy1xqaTB0/prKytnXvjwbLdU8PrBXoERxgFeN
tq0tfHdFTnx1SJza3OLMVasinsu3ULnORtthfjKnpCeV3ngUtaVumvC3x8iOwp1T5JxKq/AaDRMP
vzL0K/5AaoLpCAA8DuU117n3LsFH70ekhH8jXFPXOM9SOntizamg8sGs8mDP/HNl4klvtjd2h8rK
ggfAKf0pO5nuc1O3n9Lo6lM4lRCsSKn2UYcP28wd68636XnwZhXCCcz8J+on8GWn3wNijqvCao1j
2Gjsm42a5cWgS/xgTiP0rvSbZunoBouazT5fuZVp3RmNQWGNkv2za+XdVizWl24ujjHVHGPZHpqg
f7VTsGNd60vVANkNtpNcFSTOKW9F80BCjVgTnd8+k/8/nRhbXA7JQDT/ACUza/6ZQQVQxbcwJVHA
AXJa5gxUZlLAuEXRccIiu3Vg9rcE77FLsqI79w2F1lsgv3qncwzgOjamDd6QZu3OGp2FKeW9iwTv
YjPonZQWeIQXgZiu4ome8Lw9wiXNB8er1qEviBbOWUD7DR3jzh1gBHxxVOnk6uUgPXZRjizqcAAY
ohBENFTmpJRk76KsDK5N4QbnPguSS60M9n9zLI5drvwd4ckFmMQ0Rcc4VPzwYB866kruasTGe2EA
12HmrSnruLRwA6RbWn1XPMFGUO88CV/Tf00byoZmZKg80dDMsyJmfnhWuuouie+m3Dsu9UESHY8I
WD8ijoyoJCEfV5NFaGBuUiBAObZtXQbO0auY2fAhzwvgmrBX3Mcgg2il5uDiyYI+pdB2KiKzEraK
AkP3MXbxnerWGLeYDOujVHX4RZNLcJ2LkSaPptDHXpC6vqo7rMUJQw56N/JFAfBiM3/04i76dji0
nabY0qdsGlnJgc7CewH+dHbQa+/9qbTeOl8LSGVO12UN8DZgMgKYBEtragBEH7vcDyqXNiCeZQFq
iqYRQF9QyvxHcGR6a0Xl74nCb35F/nKveMCbUDLBBVgsOf/QBTS9g5Ih7jt6BuB8xckAPCvh1EIF
OJN8k7Zc7NzTZONUZvzmGFScAt7SVWtmC0IXI9mkPZieBO6/4Aqew6zwA4mKBRy3bUraV25j/ra9
eZ27AxS9nj7NYB5urmRhyXPCuRsXbzt5jvbRpyWFwzhVE0brGM8th6xdMDSvpveUtOjRpDk/UJOy
0GBqE5KjudShLGmIdfUwUg+0qsVww8Dc7JogTHYu88gKQK8+oZby7qPYpEG4YxCwEI1O7G4oFFvP
38+Gd5rI5VijsUSOqArmgbDazJkxkl0KBRCxNpv2BkLJ+KTGqN1lpT9fDXO051UX1OcxcWwGQN5j
JaRzMNDyM2148kEEp1kyDbWKViGiKsbfUcDX2hF7SbtGvOGcVnKbMp+yP3GAoucl/fxpbMqKuX5i
AoHWShtkqybHyx+JbYkn/c7UffRNQTVjqp/alImT2nfBrYvJzPC5W0wXpBoAMzljY+YUmXRok4g2
azpsBLET/uOt+V9B/n8suS+I5P/fgvzHqvlMis//Jsf/52f+LceXpBLTpEd2MHks1j91fv+W47vO
v3ybHKFgiZCReEv+jxpf/ssmO8YD6MGagZPLJWWo/a+4/n9JjF+8okUcicPE9f8X1y+8/+G+Eh4v
Yy5xZhDYjv/TKfh/R8VEI+ymC/6G7CxBupRp23lhX2JFbFy6X9iYR6jAwEw/U6/1/jKVYcUf+z9u
Pe7cyrc2uhJks3Qk8FL+Q0dJXoc11cd2SIRCbVrnrIFW7ZRC0U5IQHNHMEvOWjRaDrNXDjXJkeE2
dk4PCToTUzzJqL51MZse8SnJtqAmD2hakkRRBEZytIg+ueraeAu8GHoS3OrJaQs0Hx0dW595FCPd
6BogpxBM+p3ioOyaSFk+uRamlNjIonClVWTi0JUlmLbNwAkVP2QogpTXnyiimU5jMdbvojCzOxuw
676JUDQhJZYL9D4KDclexIzxdZvcFaGdnQuotHTT2V1wpBiofcNG6V4MHfo7Spzo0omjIfwd0fPx
XM/EQAOZAxwS6D8ilI1ifZxo9EJSYc20E+rgb5zCKtHm5BxzoL0Vo2vpIxZJ5vsM2etOcJrCrzNl
i3AykdOrAdTDv/fJHldOgsVcYyXv4nybSB/zQJmwHnHWRGxrzlDzbY81OfIyb2elXb4vwU8/EEbX
ayET6xDUxjvlje2dV5TqWAgFGyw0a5SjULR3YWa8T7asN5w2gj0nwH5N2nS6zWA6fg9E9rzS4JQv
r/emK/mnSF1Sg7LYUGvXyIwnjpkYg7ETYrYPIsI4DBvqJK0CZsIKUuCsymx4nAkD2IWgAFxwuJsF
9iRJ/dq+UYWA2kwUJXKYQEy/HSucDOiC+6b03wCzuk1RSe+EUz9+Fol2TyWW+h0htYAXQSz995kI
cTTnoUnzjJZ7XcbgpzyE23HugscwHSkhcxx8tkYQlejhxMy3nuXZsJdenhysGAvA3JG2bRTJTYbp
zGllSl6yxNF7sNjiy4pjuVuK3yiMi5eq+bHK1wXhcr9bJcpb7wIX5pwCd3XlR5eoNuLlXBIcS0Uw
k8imX4HnEDLdBf4AfmoPCCQBd+eEuQOZYnZX15WzVplymYFj+a7sqv9K8jTH11U690kLYIMqQIMS
5jy4cBHZAxr/clxDzsGbVUvT0Kxj2tfG5lXEqn2UZttgKhkzwwFfNaa7AbN6tI1Akf6mxqAq+3F2
W2Hfei8ObfVIdG3/MBjD0nBXwNtn5JFfolaNz0McjtQ7dYv0Qs3x21D1wx9Ta+clb6bovszIiQCd
pezSbJ0X82fQxZt3NA2I5KiVNF2WFZKHqDSRA2U2or1qhLOWoVzwbQqk0H/CDy5jDWgjpDCz9FvL
1nYdPIi+CCPHn1EZJeUNntr/EKHKEpQQIqPe1JGJrslgLUEP4IzbIJ/8z45ivquwh25XoUG4xcPg
Pfd1ayAXT9BJMAmpLSk83yYNmukKx8f43GKZvGXUEa2RT5QnTsnATvw0xexhxZi0MM1Nj9XDGMv8
szJgY9tlauvGtt10zWC+Oi2BStT9YCwIdTIhUK9QA4Tp7wltF8oy5sCbKND2160I7yC+e2c1kvdB
vgcqlw3m1/yJaCQXowOnP5zzc4r337H2PeDOO6nr7oMJ8vGWW6b5yH1lvFDnCSDQ2Porb/xo12V9
/Byj3HtrMIPeQBGpGipbqzx6DTnQMCcN6kBfdwClo9z5zuxdkDvh+bMJeyEPa4s49m1CaCCrtjqU
Er2i4J4/tllevyXjvDTDLYFfCUPcCotjc/D6MWr4ZtMO12Sg73XuTx/C9GmNxSUDpe7suy4FVdDN
DI/B+oXiizijBuPn/ICODsTfh99kZmtCoBKrebGNRgH3G9O5hn6C+g+13hhYYpEgq4IcjrR49itt
oeMjPXyV2tN8CSbiSGQ5G3fKmS1CGBrOp3EmVsTry3XjjMhm+ibYGj0mqYKkth2xxP3ZUX4QElY/
/MoX+XHlzuYOWGa+JDrQFKDwjwmdGLsKHcpzERkUzOZK34qms/d8f/U65YO7piJHqUb2Fnk9SXiC
R6IcMbGmmNC1KEVDlelrR5PbJU+bJ/5fllZVnUklUPh9FR62evlKMi+i25ZDzbdgNz7NXmd8QBwE
f9s6XbgTr5LnmSPSOim0fxEx/lO0x+C4VX6P/ir/m3aM7AjYq+eKfP+3GSnAKiR5f4rao7QQP64K
ZpYHZVXZpwhxp+I0RJNrVd4xH+zuAL8aYK3piegwffc8o99keAaHtS0aZy1oqwe6GtWdhcB8q2o7
3netMPaz51w4zJJi6PSL+L79DLHW4CUjdAHRWnXNgrmBpjD0IfEMGyZRWecGDQ9YYBaAtibpsTep
xSvQfnBXTNFXnoLK+9NAsOYgq2OgZbMTTVrvTL7nXxmfz7cCJb3zeyt6VogJr4wBIUc082bUhLwz
HWAw67ttIVJz3zg5D0BPLxo0gw0aOmOps8qGZ5EdLi6tSGCQtWaxQ1MFOlkwMC27ijNvBGmw7OVu
tYsm4lj92BC7ybJmEzl+jhHFQx/uASQcmbQAwnzOaj7ar7Vdw6D3itQT+heVd8jnMbmJvq/PBFa5
W/w8AHG9BgqmF+mjTjXZenYbPiWJG6w1fr2N1UNJhhbeBrsDPZ5iL7lSf5udo1i9535Uv8dmY6FS
74ZtOSh5y6GxUN5V6cOgugl8LC8gy614y/ubT4GszXVSogpuwszhWceDdSMMz5xXlaiGbdTMPeeV
sBx+oaUorwnrOQDPPJ0iS2ZHnMndW98a5oNFPs09Sqnhy5gLaucc4TxGvdtvB0Sg696dCbApi72Q
XbQngiW+E9nwqsKpXkPzOhfDzum7yAJHHZsud3bWVHBs0hbxJ2tO9v3zbCVIKNC1piszTtS5iunw
1a5eIjqM04TAYh0jnXvIPVu7Fwen58G1m/4IrqbPo/shf3I0RkwZ5Wjm9toG04SgNjBChmNYnvEF
pQBsNmJZgNp670YNziXSEgqsQjObkjFo2OIq9JtLaVvGsW/ZNA0mpd/j4EBqBKFKtxGBJHrF0mwf
IQ9m1Hh5gwp10nV8UUHjfY4J3YD5SGuo7xb+l2wDZ2/F/sdELMthpiHoNvf455j+kqvl6i/T7cRB
4AxlR3C7F7eOMLU29vjX1AYrgCPpHub6AoCCuT/R0FAgknPGt0EV7csYk2m2rtsIdYFV2IiMc2Rp
pE2Mz0kr2t1oob/EIlqdE6teQnS8IvszomO5oSKCLjdsjyZi2VDLKszyTdtWuJ0Gny0r9xqCdhrb
Q2ShSAzEU7svssG96/3aWUZ+pO9xD3Ybweq+z1kJDc0IgSVxsFEwpzKEJo3j2np1/Lg9WnMvdirU
JSJgP7/0YRue3VINV8IQw89A44PURMR/54ZtH8lAHgjjKY1xJemv3BDTYF8C6CLcQhD/FfMQ0Y34
JsSJAQTXgGWB1Muu7K7+TOpSN9uYX6gPwVeFNgzcqX0owgaRxZAHCR+kFVA8GSG8qUU/XzJbdZsZ
Z/vLuPg35yERv10yu3bSmPTvXhe23v0g2tAU5j4lyX+jY43ykOQj9C48UzLtkr9TaNjPAiFZEOZn
gv3FNRieezOciAiEOcOeug3s5sydM5/5g3nk4JAQLj279jYSItgQTSXA5Lm6333Wii8Y4w6GLlLV
x1TijWoaUCorlN21AVR9yOY829GgahxkHBZPdmqbf23OLTiyfPemmLuPbt1a7NBOxk5QvdU59dG1
3qU5JBuHnTm472w7xFrYFgdhuGLP01FuaQAjIYlQgJOdVt1XrnioR222b+FQRLsswJuQTOwiyM4C
YxMaU3HMPUmF15jEYLzUbLLIjBTDBWE33Zx4EnvN6gLtmjU74EP72M7w7pOXg+QJnrwHwKr2b0X2
z1kkXXro23DAaym2ZpK+2iRjxFm+dbuccDLEzuy1iKBfpiB8CP3yoeKsCBsyPoZdMaNvLx6nEgvA
FFzsyXsCQN1IP3zME+OP6xlPNp6M1AuveWa4a7BaqNJKNHgZvMHdyUQYrJS1+2ccyN0yEyHvi1r3
i+LBUEc15h2uOhoplEdWWRB07rWuiOexUI8+U7XYnlFDV/dxX2QnJYtoj2GofUiI9Nz3Qxg80sVB
CEPmi/3SI/2SuSUBQQRf1uMwnqLQpPCjsedj502XtFAj0ZZkY1wdr5GnkDDMc4TYmZxJdUxQejAK
WtFfvJ6SJ5J+TBmK+DVawjYwOq/VjPbYn9im2exdtguCNlV6i4vvgi/pYjadvOoEfeCK0dg2scS2
8pmxxQetLetH1AjByUFkt3XmKHosqBhfT23H0bAJBeY7GjxuVuHW+5g0JHPTt1PPIjUl5gsZIEJt
eALGV4zhNQAm7QXvfASoMt3JfICfXXxgddLHFGtH7Qbl97w3psZZYY2Lnhxv9FLuPifF/8CIRw+K
04Cm9Tsw5+KWx/bfNKVjFjLOiW9BIt3PMm9g7YqxPZtzT7EdruPbPKKn3PlydtBj5TmTppyC17mO
i80QlEPHMaqsr6RXISYVZvUaEIqx2Jky4y/4NzG4NjvuDnE6Qh4qXB4kysDXYhCMWe5SK87U45yj
vjYupLnYm64dokMSKHBdIk3wVyRGvIlbb9p7c0L9BMd9nMPYYDml44noQsO6JBPFJqPMjIuZAdp3
5WTtaTGdCrSyaJXxNUw08rDH4KxoXURd/UxAtUZEsEYu6J/wp3uXNKTB1sD0cYlxiU5rM7QWLmGY
nguvxwFMKCxGUlfoWxtQnsdBMYz26CvZbJRv4P8uk+HeFLTPqyZODsjTF+Y4W34H6mzBytJTp2sB
7Q5ECjorjvVVvUUzigWvnbn/MashQM/HEYbSITu2ycdDR/koeqLSavDLktYb1j1VrFHaoe8qool+
h17Of/TAo97Udv4Qw49y5ZLdf8R1lQqXXqzGNJ7tOin3JRXVX24UinOuUPKovppemaz8Ez3OhFNi
vzj2YzU/NcFcHqfOafdxTj9NA/52R5pP/DWoka9EaruANo8w1mIzWNqKAs7yukDHYlYwCIBMTX3Q
ofafQnCglSA67ymx8mIfg7Q/dYUd0K7l6wFxUVacOeGXx3oygn0lURSDWUN/E7+FL6Sz2yMBuX9r
c85Y6lpOVrJcc66VsG9CPJc0+SF0s9O30FTmAyYd8+/gNfapSb1i60bCAJ9Q0XhI40Y+FKbstwI9
013O4HMMyD/4G8Y6uKlwYMFxfOuXEcZYfOZSMud1qNhX0qiCv7Qdl9W2K2D+JmM2yLCMQqIDC7t7
IKbMvMfQgkKTfrXmMleieCiddrx3XVJrjgWVsu/Y6UwEwDMPl+JMdSxw2T+moeU+RvU4PmG66A4y
ldYdD0Rzbnw3vwQ0DiPgqNF/MK6t48Hq3yIbKphDyXxp40J/m1Uff+BLnc6VP5a7dKAb2ehFf6AA
2TqaJodsf+irb9Mq8oemU8WXirviVP0ne2eyWzdytuFbMXrPRnEsEkgayJk1j7YlbYhjS815nnk3
QdbZ/XfQN/Y/PLLckmzLcdsIYCAbA7YlkkUWi1+93ztAlF+Re1azJhLrLIMOgApW+j4GPPreYIXJ
Jsas9LzX6UxAHfMlPbq+OYptCkpIykNxp+VdsarKVuIo3xr+JtPrEYlQUYC0jExI5MQyc1fIW/JD
FevdG8VKkwsRV+VlpCHzd+PMWWqBjhFlPYRH0Mr0o16R7YUpje6KMGvtTPgkF0KX8M8UDOEOGi3K
QYqyHlvUTneuCBNfFKoY5laDqH+wPXuvScL4yFaTZqNbrdiPg8jgjmXtnBLWPcfBlW21rviImgN8
MMte4hZad3XNdjNCdguZaFYqGhfSZ0QFu9gazlpHKO9NpNWHWJHCvYCZ8DrwiwLCFUwi1S3VW9rk
7XmKZn1jBrm6NiNcnSzXCg813uliZg1Viq2cAjKpdJOvkh4Zp+CccmEPcYZfRF6SLS3XZgH6Ub8O
XMW5sLrCOsfV071kYypWQ58F1/AW5DxOm2TZoHu9GKHOzahUu6WvuMkkvm6PSb/7PQRtuiikjnyU
xq1/hPRwXIytr16VtdT4/mHFlKRRvextYS89jchrq/ZcMGyDBGzcV2n1NVKuQkOh+x8gSzrAgUms
/T4Kr6An0JFhSUeEFomZlSDHc3pbglB1F0PtiXmt1z5H6XvkxDputhkb4lMXq9qjJuADSFscTWOm
ayeV5alvbL1qT3xUX1eO1+MhZcfapq9q+wSkMNA3pAUOJuIgu9zzvDJA42kC+KkiwsDEcTOgLmoi
6iMvb3Uy4VKhpYcUzf1GMShPTUUt0ZzH0RDPqOObq8oQZOLVBEu1rCt9Eq7yQtVP3ZxO8NzqTRW5
KBGktLUnsEwRiXYtbc+1VmVaQ3YqoEYiYszKTegAVwmm9rLDyMq6alDUh0s96WgQYr5iY+ji4y0F
pysArYOqol+HKpicdGhd86XtL+26AhSLssmUoBSlfyZVQLPUaidivFf12hFMZJrbitdm7QZxNkL7
sit9hPQ5GgwC4/p3o2YALJSKXhxTMtAdNfBMn1PWgvYRgFfOUsw3sxkEvv6djJEule6kerI75OS6
z7YbTNMf7Q2JyNBJqjJIPDxFG9K1+JZSj0L3wpGS3OGNTohaRIHa6yBWNGd3LVPeqe7OQ5U3m0oL
1ns7gHuZ4QS9TzYfG/hIRec96wxgS6UhlRczArq/O4EQQiogW9XZOLD6sKCmIlqyj0tJgC/8t7xK
DLHO0/1a6fulRMZ6TgkCfqLh26O3VYWQtnFOPV+6+6y7zXk1sgdUIG8NhZ0fS5mpiBOU+DJt9PDI
a/QThP9nuEHh7hUJrMgdnLhmIjPLDZlF1GapHx2GNTL6ShjpgeUqN1Bo2CkqKttPDJZYKT3LxGyn
Et67UubdQi0s5cysCDoLLOvK9g9pML+2HRqWFMnpXVC7wVrRcJdrDEduoLWRfWi35tvKxuobE1CZ
rEhIc1cSfyZ29Lk67233otHZoHs6H0wzauhEuPa4sUsKqH6QyU2LxuMwKVq5IGsdQUTneFCy3Wo1
eEnEfkZrZnaJBjXw3I6mLtSAWYDt2MKk6NuX8RBuEeE5hyWF2lY1y/4qUfXgzdjTlE9JuH+bAXe5
y2YgWxNhKu3reW+NDi6/ra91VFNga7WeZ8cec+4IJmxwBsU+OWL5iY6dhu/+bHTNwF8VuP1fKH7c
n5ZeVa2TED4MCAmGNrwtvDj9QHvW1jH3bPU8Ph8g49AlF9bJmOv04kHPMvY8FZLQw13z8X+d2F8c
3SBwBWfIL/diT7flNv3jn497sR9/68EczSaew7QdoZvgySrL0Z/maMavlorfKp6azn0/9mM7FgwB
x01arhhxCl3XyBz8sx+rWb/itIYb54NT5zeFxJr6c280SxDCTr8YrqhtSet5vpOWYakt0JQulExS
Z5oo8QDb1TQ5U7RSg8CiWMqeYfXMswJLgGzW1w0BHrK2o63BB1+bK3h3FJDpA2wJetmhbJcQL91l
a4hq8iCcyCtppHh7lovEaB6Sz6hOH3GsSdI4HN6jdawnpnRcXvPG4TSiBFWDE6PZEIMx0BU9MRVP
PYC82SCOdEl2Z8Ol0hX1qM6A7IoKf5DAkdWZHmiYuLl1hR1tomHTO096RQNRKYXx1rEShMgimLj5
iXU1iloImJ+quwmt0rqttT4/K1U32Q5mjVv1QCXARUA9Bsj3YuikUWD1Z0ZXjwA6wO6sBbbSTO7m
lPiQTsDxorJEuTvgYdIuWGR4P/uyNYGYpyWWfuQYbAc/R1UVuS4roO8Tk7AmZRaakZ+MzhYOTpXD
tPMxNYzjnr1TQ2/gxiWSEecdOj4bTw7o+20vJkSda62uUthMqOkrR+4hhIsuXKziL0VmBeUC22YN
t34jo5My2QeTdGLQZPcq+S7DwusKZ3ME1Y4nmxMTC6xhWVp4CaBEkfUBtKT0yOsC+WaU6ojHNJ3z
k4p0VDEv8rS7kUY+vjGSsaLLBBfntAO9u0mdrDgP2kFgnRO0FQ4ZbAdq6l0zgmziRFl3qeAicssZ
TWy09cB8rdrYloKIBwG3oMukuega8OJVAVYdgozpwTs59sVd1hdkfMOLatDPBBCzvaULAq/B3zSr
ZE7LDU1gr2TNJXaDppxlpWN2i6TTwjeqlhjVHq5k0J+IlriWAyzmoh/cben6WTAfDNfz13nBF8si
ymCL6XF/7bNDwKvfFu1xkA/JcdZ2PYW6a1KxtpKsUYTyFm2fxsUljL1N1iUzlyTod3hIg7Jndei6
i2goYoUpaNuHQiQRAjRCh0/cCISsIGb8KrEz6wbaBbYXVteUhwKLuQOMcXOMzGI81ccKUcOQoyCe
kUChyjmOLemZakHXnJFWrA2YaqjppQGqzgbS71Fpjh19RyynqxXIiHOOxWtJ0QfRWcV7fO27XoKr
lU0sCWtWWs1FW/pYj3Y+3C2vjNpzeoc4CMS2qG4q0ZXWMht7OqwKpRLnlKNuYGQG7woEXi1RI3vd
e7uwK+Jj8Vo5qEurMJYxbYdhNXo0UWd0OAyoxBmyhFkO/9xeN2aCP00ftqO2wJccIYbrNTckdWA3
J/JOJ9nCrVQFXDHCscLWp21NF4n6NrXtKkUnREBHDgZlIPDyIkBQ0RLc4jZj1K79gsyJOckK+mEv
s/QsjOi3zCvXxSMR+iiG86ZtbHUeEa0YUgDUmVBD/HDVHEPzsmtQk5V5p+QzYpWSflHioC5hpUUD
KI3fsXmMFAfhXpoWnjV32Ehds5OtbtDLxocYKaTvmhrnqlljqZq+MoYmzYBLFbiw+NpaNOeCSl4k
iPvI49SBWkO1xt9UIqtulmrdaLRosOCbEz40uvMq0s3rMMjQfkCpVsopBqVetQRjw4P2hYb8UXYq
gJZJm0KMNRnb0DisN4kZi9PCEFhl0NIvj2DHE1IM0TR+S49NYUFv7Or30osT2o3IxYNlzt5ukcEe
DZYFbeRk0eaK/94mwUWsUPVCzBmKPrqjj61Ucw2VHR5GMoI2rXsDbYDem6zdRQkzDv6Mce4Wtjcs
TfIDbvvGdS5aLcbfvatKnDSTZERyZ2rQsVnwmBNg5L1K47Qz9hirZ86UKmDZgw1IJHIUCFrOI22m
tz3MEdyS6BU1c3RliERpboVXeYf15sxoUiT2RoDfJAEaEADAj15nIX6c+ATQToMtiE+BnQn0EN5g
ttYSzRCzOusnEaNwvGln4cd5CUm3oDr3yolQKYRJQVWFFvsKr9nxDBIBQcBju/EOFES7xg24gAuk
+xbaJRVBSAt/V1kKyUo9g4KN6I209fxtBTCcUHvWcBzx3sNsBdFMDN6qtMZ+qsYiWXuDztxGJnjs
9H2LnaGja9dhj2QM6a5EwWHkwJXruKlTng801NsgLqwbPXexACqaZnBmnoaUd5U5vRbth6B1rx1T
EcbBOKL2orEzQFPFUTDXwO/o588z4i3qpejLIN6r7FLDjjCgH3qGws147YmQjU6UotnZi4TZjZuo
xrdi2uqVixQFUrTIcl7tedWkVbjMajnpWuitQ2NMu2LjIfEt9gRB1ca5E1cRDkIGbMZN5veYH6cs
BP0FYDAQAotTN9MFqq8T2ExYJPoyS27cli3TYqgzGCJxUnghPqoV+B6Ag7XR4INkczE4MEsAt0ZA
YrVyJbJCVSEremyw+hkyPTxvcp3+QgvfnHxWIu+Ra8RaNCxG8rvsZdhJxcKJKWvRo1WFVS60Gv3h
0qsRYSxLiKDpXmpARMbuQ6W/pSrs9HlcYUvLr+5jGDy+iWOKqdf8vG8FCW7XY67QPNYzf6mHuW8z
NfXhQkJFaPbhuDfNOhB8o8pEL91NEqW4Z/Xo2S77tFPvDNCTLd7IoltnqUc+i2v4HQLFLsBVcKhF
/K4re/fSLTr3lmhoHGe7gc7fHAqBxBDIGYqDLCj0a6Qjk/sbPMDrApEDEEytOuuCkoG8pChMk03v
9S6eoFneLuhOVt4CKRWKTXUsVNppEVu5iJgxuHl9ijoMVQkLINRCeVp1Cgh+lusuBjaTRdsU+6PN
giKN6LJXWJkIGkpQPhR4EwCCqTWHD2+Xc7fss9M0NAgaz7oIWAhKuE97CNLJBV8ySrq60uSp75rY
2xW2S11l2zgqHOdSZJd9GCM7tj1LzWZaFWNRgDW3A89UF0W/0CRWmGnqFfXSSnBoWMYQOk5i322v
jLQBs4ckg0xJ6eWtq0dEilQaoBTUGlNRQFwi4CofjwCFqdNhUOkLbFPC1hMsB2hlwHr9IbtuSXxC
GRimfO6Hka83dH+BulPiyhSsZSAJoNIjyEG2C+UPds5oscCQokZPEAy4w5xoqHF1oQ/O7t1RId8T
NZXY87x19UVoddGFVYV1g0QgDl1yilRsXENBFhwwQbrzP+hHOj2dxnIfN5VH44wPhUXDxk9eqxh1
Uph0aRzs93UyqPNHG5vTe6vkx272zzibULlRlqiGEBZrs6Ybk9f9o3g/YI5MEKoyOXy340axRlTQ
BRKpl8/yLEL0k7M8y7qsdBRfRhOEixwL1Nd4t4/Mr7Q/xH++RKef41I3KqV1b+/9xZTnz51V4j/N
RgsQTwj2Wo/HZvYDmBLFKH2oyD/PppUwMXLtAF23S43fufoGWMjdvjzW5/nOu8E+Pu0U/PnolmYS
UwO+/2jOM9aERdFlMAYtPmf1rIk11Ml6RhAYCTR4YVSlSG9QqgmopEqsQn2ixMq+9RnD7zVNFdqw
cAQYyrRRfHRBqpdj66wPeN+VPrFBqY/Hm59+La/1WWyqgaUzZ4FPzM7WVqWcZtqjsxi56CD84rAX
oF0gfEeW66Yu+rVljmDzLvQcqwLjNfFdWn7rHX92avjPj0+Nzznfb50HjXZrUzv0/0dQcch9dPBy
YdTnVmUTvCSbcu3jzrGCS+ycuU1tnL58IZ+8TFyHJScrclVOMohn09xCbzOYCXVd4+DwW+uxvdD6
KrvPQfnitJ5Gc/8i793+/Rdrd6Mfn+WZ53mZBVkQyiZY2J7X7JuFNSyF17SrLEAE/40DYsvB0qBS
rNmSleJZakc4wnrweidcINJJSUZQzDk6wmH9F84Ct90yJe5V8rmJO/F5nU9TEL/MEWe3CPSQj2ll
fmU1+OS2MRbNAAyhugOcMZ/NTw/AbtALO8S2iJANNcNPPeiQXveu6A9eHtCnC89Eutd5D4QUEPue
LTzsLoQQQRAtiqr23o8klV6aUNFXRWhiUGlnCjxhfKRfPuknk4/xmbauGxOj37Lls5egHLnBcIBD
gsqG4TCNE2flBYb41snHWSxdxd8fmYGhPV9TcbsqYKW64cIZixK+n2rusVFXYPMR2PStAyJwltlO
OQ7ejCv/07dajEUw5LA1F3k3Zmunin8vdStdfvtJpG3awkRUgZnFs0fVj1WugJyzdFhWv7DonB1O
jfRvfo94exzHJE1XtQwkGU+HAkuHWgnAdyG1FufgPItW6rQhfHksn0473lAHwbdjSU3uUoEfL4Oj
OfASwdVYYEJNT5g/lh4l31lqBvGCWEuLUD4Mwb4yts+cVRPCUQ3d1AQJDdP/P1r3/dowlFYiWrBl
DeW2hj+4kDhybYQj2daGuX1I6xOuzMuD/fR1RvAC9io5q2WK5+ngtTKlQsDHWKDElSszDcc9N2hS
cwbYqVlfGaM6fSKfrLnT19OwNM2UxBhJ/dkDdDB1QmRQhItMTuQbRPHIvyvlojCFXLRRTPaJFqiI
6qpM649UMTrH0M0yPGbZ+q3rksxWIB53/fI90KY8o+eXZfDR5T3Ec5lojaf3Hl8N1w8GPBLwaqS2
bHoq7qVRYtW5LxU73WoK+QZ7WZaKG1Ij+kVXI/eQcZao66hTjaMc50c501BiwGwLo41Kq/auoddB
TRJhhqEAheAsHUo6SA1bgfsJ+78mA00Gayo6Hz3OxbbevrqjFKmH421y9/df5nfb8nmP4cMvfegx
6PJXYADNtlkwhIHPOrPug+LLUH81EIGJ+97D/Wr/EOql/cqChj6MIozlQAomxYPkS/5qm7Qk6AlM
aWG0DLRvyV/RzWl1fDz/HGodE84Vc1my7ojptXn07ht909ZlAC/Sqluc5ci8TYpZMxbV7dBmBHKy
zfHXhCXBXsLDo3+3a8ayPkbbVpaYfuB3CxfGpFl9pTfEKw9hU7mLMSOjFpMXOdx6WG91OKFYbbzg
c2CdhcokdfBU5MYzi9yt32vW9bMBNDA+6Om5wwDpiJReYPPovsaYdezQKykttBoQHOToFq1Kf9Tw
5WpqGNHzYOiwvvUR7R8T5xxfuyDrpWXZ0UYY1D6QSjssAjscGDCKGYf2NdZIhFyoxhCdjmHHOyXY
5u2PIWj8IgzilL3rQCrOgg1ltl+qFRSwLO+Cm74LSYnRrSQ+UoSFV6EWjwB+xHcSftq0oj6g+xJj
6GLW+AtAGieU0uorDeZb79bnwpfKVisKTFFb3GdL8ii7HMlJVZ3mfc4Wl9iJSdYfjl60ANL1jvCQ
JgcwrxwEPFbRNgeq7sbmSkRJfdl5Nrqdzu3wM0rS1NhrgembZYWNPjtRiSRoP4E0h5mBGoS/j9S7
3Tw3UfcsLMgv+/A/bWftVW54CW9JHvstghdsYOxkm7g9YgMSI7F7YnXqrjsvmFKx4EJGm8BKwiv4
bfjP67Us3JXHWks6o+r67wtCuZq5qvgRkhuggbpY6o30W/IEjQKKJFC2vgUtiK8aV3PwODP6GP1K
UODVgVM8CvOZpte6DplGRNcNTNzjzmMTMmuRzKdzLkjJtpEcR3kALOqah66JjUc7l1aX0E0KyITe
QFp1cWQRpFpApHIA5wDcI8KGjS4PYVWrdbUCUc6ydaY0wlzbMqjeRuTPZEvY3KR+9bjxLQ01l/i4
qw50Cz1NSpOkWShw9MbxMuCzDPsYZWMYD6ehnUtoEoFa46VipLUNFqNp13qUD1iaqE4+AAvgw3iM
o1iJdyS5ZjY4o4Lrv5cXOcZNTkJP3JYu3JZK87VNXne9sa+GWCGcEq4dd5e8XNkbEEtaN7ki4uy4
9WpEk2OGPQvwCiRQLKDOlEqx3IWjueoaTB0WiN+azbBWWxwW3qSBHMlbxwgdFpxoTeJ2y6Y7KzRD
v4HtJ9hYAuQ588i1+/iqxEc8Wke7QOXBmcKVzXAKWpYIuW+gV9LiSEMvD9eZwHl6hl2AfyTRsedX
6EOaI8+LiXCOjWQ4G4RNsLPvKFwl5lPkPUOEreZdN8VAkyEKClcpQ3gRyay8LCzNOQiQhV57mo6y
yMVWTaAPYQ5t1Clp2kswYYJdV6jXGHsa2ioPtfSo6B14J/YurNqZcquZf/iuB1OadYj++qrUON+y
36VdZ1PwtTllYCu1HLBY3UVjJ8D+rzMNAG6J9Wd8xPaejNhAWMphOUBehGPdNm/IYk6rWdQX+QiV
KDOPgM+wawntKaAbGFkXZ84uuLsZTboGSuljqBwVknBveOwgmTBl3bfwK4j/zoopChxtNvk6hiAh
PMinsHCrMHGeSAh6UZnvU6C4ugsXD5S2eNvtIsdpPgMbMk/1wy4rB3sxkpIw0OjFahot6RRcbiia
cmILKyNuha3ZJaERkFVAV7o9mldEnxsi17eFVxJKau7C0QnCJig9SgzxptrFp2NeRJQ6NjXYNiY5
bsddOYWtu6kXnTm7CHbeNro9UdV11y0GFOxZzOtS1T11HsK2RXzu+3W1Jv6U/eAu5H2wp8D3qFQ8
WFW7IHgX/no8b3Todiy8GmHxiIcwy9F3IfJwG/UTKPKwbfopZT6geMOU2tCqk6Qcyq2/C6TXzYxU
5LElNJC2ErMqndLrJRr4kMJNHk2eoxvQ9FA5kMMUeV8OfXPhOnz4DvF2cn5P44h1GughuAwxuUkX
iq/gUJ+SBQL3x4tKb+X1BdolsyXjYFbivQxxM+8g1oxxRxsBmlNzHvkZvnmtEasRa02KnTXLFA0J
UktkhR8AAQcLGIqYSPCJpoGhNBgnRFWLk5rSuPCH3KBin5n6eLnF+C5x8EhgL60VprY3uIX/Pq9h
yy8QSECaGhtEj3PbGHCeh+dY86mNWDfmYz3ScN6VND9RhffhUqfya7mrvs6au3I4v6uauK5++9s9
6jL3g/h299/BXfUtP/DlA3yo9SbI5lGVtTvR5ZDf3Z/6vh6c/v7bFgJ8uiCVrgze13+brvrRf+7+
TgrY41//MLBPL/2z1/Twj5vgrtyW7/3h/mY8qUj/8b68e8x5wRTg4a/TJf79lyfX+Ki2ffGg8dbL
ttXDgab7AfrBXv7P4f3FAyfbMUufHdmYIKrvPfJs6weAvveHmS5Ywyjh4e9//U6s7m659/Grh4f8
cMTpDI7KJPnuC19W+R//JtYve3VBuGP2cMD7e05kxMM//PUxrLPgj38+fZiaZrM3/957fjRRrvw/
/vXkojUBYPwjjs0dWZcZrg2vbrk3TfxwzN3DFeZE3vr+AXw8ycPB7o/OJu3hH/76fYeR9nSvqJmq
82OOu/3j3++ezXbtR7yfp3dluk3eNe+fPlKg1x9wt88DHuXdq/0t/NDy6QlwmPwBq8t0gjVTkpMw
ZY6zsn6yNGqSDOvvf6xPz/J8YnKOH/BmTUvB9tWc718ZpE8ftANd5fsHccFb++p0i5HGw7F2E5+U
b+CC732tXkg+333N//or9WIC7nce+x+YAT99X3W8fH7A+3rEI6xerfmOBE9W4enwP+BRngbb5o9/
Pzy16TFOB/4B3z66q19yN/rOW32epbd//F/69IM9tXydqQPyvdPvRSbwd175SwDgi4f+XOX325MS
cTn9/tNS9qs/8LEYZszcts8c4us/8VBlfuYQHx7FNKfU+5LhI/96d6rhww/cg6NP64yXX/JHJ3s4
yG7m8j5wig8369EPPb8vHxqvXxr1fzYmmhDTd/6lMR1tP6kQfoaB3RcaLw2Me/vnYvdTDGlXg7w4
pE+Kl59hXPelz0vj+nzd9HOMbSqGvja2P0u2R8XUzzC8+1LspeF9vo77Kca2qwRfHNsnJeRPMC5i
NR3oci+Oa7JafPWP5A5Q52PpfT+09xnf6JQP7aMjPPpIPfmSOdBIdj/2X/qYTVjES8Oaldsq+LiJ
fhhPQ6oNwJoXZOmjX//SmD7evP/WmO4r5JeG9bni+meYhx+nx30l85ly6mkhnMdsm+/n3X/p5t/D
Wy/d+3tQjALpA0r29Iq/BDx+aXL9p6Xf14ZPxTv9yPuYXv1v/w8AAP//</cx:binary>
              </cx:geoCache>
            </cx:geography>
          </cx:layoutPr>
          <cx:valueColors>
            <cx:minColor>
              <a:srgbClr val="5CB8E6"/>
            </cx:minColor>
          </cx:valueColors>
        </cx:series>
      </cx:plotAreaRegion>
    </cx:plotArea>
    <cx:legend pos="r" align="min" overlay="0">
      <cx:txPr>
        <a:bodyPr spcFirstLastPara="1" vertOverflow="ellipsis" horzOverflow="overflow" wrap="square" lIns="0" tIns="0" rIns="0" bIns="0" anchor="ctr" anchorCtr="1"/>
        <a:lstStyle/>
        <a:p>
          <a:pPr algn="ctr" rtl="0">
            <a:defRPr>
              <a:latin typeface="Segoe UI" panose="020B0502040204020203" pitchFamily="34" charset="0"/>
              <a:ea typeface="Segoe UI" panose="020B0502040204020203" pitchFamily="34" charset="0"/>
              <a:cs typeface="Segoe UI" panose="020B0502040204020203" pitchFamily="34" charset="0"/>
            </a:defRPr>
          </a:pPr>
          <a:endParaRPr lang="en-US" sz="900" b="0" i="0" u="none" strike="noStrike" baseline="0">
            <a:solidFill>
              <a:sysClr val="windowText" lastClr="000000">
                <a:lumMod val="65000"/>
                <a:lumOff val="35000"/>
              </a:sysClr>
            </a:solidFill>
            <a:latin typeface="Segoe UI" panose="020B0502040204020203" pitchFamily="34" charset="0"/>
            <a:cs typeface="Segoe UI" panose="020B0502040204020203" pitchFamily="34" charset="0"/>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microsoft.com/office/2014/relationships/chartEx" Target="../charts/chartEx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35486</xdr:colOff>
      <xdr:row>0</xdr:row>
      <xdr:rowOff>169957</xdr:rowOff>
    </xdr:from>
    <xdr:ext cx="2084187" cy="401544"/>
    <xdr:pic>
      <xdr:nvPicPr>
        <xdr:cNvPr id="2" name="Imagem 3">
          <a:extLst>
            <a:ext uri="{FF2B5EF4-FFF2-40B4-BE49-F238E27FC236}">
              <a16:creationId xmlns:a16="http://schemas.microsoft.com/office/drawing/2014/main" id="{32F7B812-2854-4C00-9E7E-ECF947435DFB}"/>
            </a:ext>
          </a:extLst>
        </xdr:cNvPr>
        <xdr:cNvPicPr>
          <a:picLocks noChangeAspect="1"/>
        </xdr:cNvPicPr>
      </xdr:nvPicPr>
      <xdr:blipFill rotWithShape="1">
        <a:blip xmlns:r="http://schemas.openxmlformats.org/officeDocument/2006/relationships" r:embed="rId1"/>
        <a:srcRect l="11287" t="42147" r="10164" b="42558"/>
        <a:stretch/>
      </xdr:blipFill>
      <xdr:spPr>
        <a:xfrm>
          <a:off x="151903" y="169957"/>
          <a:ext cx="2084187" cy="4015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645584</xdr:colOff>
      <xdr:row>70</xdr:row>
      <xdr:rowOff>74083</xdr:rowOff>
    </xdr:from>
    <xdr:to>
      <xdr:col>19</xdr:col>
      <xdr:colOff>1818</xdr:colOff>
      <xdr:row>91</xdr:row>
      <xdr:rowOff>0</xdr:rowOff>
    </xdr:to>
    <xdr:graphicFrame macro="">
      <xdr:nvGraphicFramePr>
        <xdr:cNvPr id="3" name="Chart 2">
          <a:extLst>
            <a:ext uri="{FF2B5EF4-FFF2-40B4-BE49-F238E27FC236}">
              <a16:creationId xmlns:a16="http://schemas.microsoft.com/office/drawing/2014/main" id="{42614470-DA42-4535-8716-7EA88ECC1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2900502</xdr:colOff>
      <xdr:row>48</xdr:row>
      <xdr:rowOff>70532</xdr:rowOff>
    </xdr:from>
    <xdr:to>
      <xdr:col>19</xdr:col>
      <xdr:colOff>0</xdr:colOff>
      <xdr:row>70</xdr:row>
      <xdr:rowOff>42333</xdr:rowOff>
    </xdr:to>
    <xdr:graphicFrame macro="">
      <xdr:nvGraphicFramePr>
        <xdr:cNvPr id="4" name="Chart 3">
          <a:extLst>
            <a:ext uri="{FF2B5EF4-FFF2-40B4-BE49-F238E27FC236}">
              <a16:creationId xmlns:a16="http://schemas.microsoft.com/office/drawing/2014/main" id="{AE388952-ED5E-471D-8C10-E4A50A43C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37041</xdr:colOff>
      <xdr:row>48</xdr:row>
      <xdr:rowOff>78441</xdr:rowOff>
    </xdr:from>
    <xdr:to>
      <xdr:col>10</xdr:col>
      <xdr:colOff>613833</xdr:colOff>
      <xdr:row>70</xdr:row>
      <xdr:rowOff>63500</xdr:rowOff>
    </xdr:to>
    <xdr:graphicFrame macro="">
      <xdr:nvGraphicFramePr>
        <xdr:cNvPr id="5" name="Chart 4">
          <a:extLst>
            <a:ext uri="{FF2B5EF4-FFF2-40B4-BE49-F238E27FC236}">
              <a16:creationId xmlns:a16="http://schemas.microsoft.com/office/drawing/2014/main" id="{80299197-4C74-4B49-90F7-FBA17FDA8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47624</xdr:colOff>
      <xdr:row>70</xdr:row>
      <xdr:rowOff>82567</xdr:rowOff>
    </xdr:from>
    <xdr:to>
      <xdr:col>10</xdr:col>
      <xdr:colOff>613833</xdr:colOff>
      <xdr:row>91</xdr:row>
      <xdr:rowOff>10583</xdr:rowOff>
    </xdr:to>
    <xdr:graphicFrame macro="">
      <xdr:nvGraphicFramePr>
        <xdr:cNvPr id="6" name="Chart 5">
          <a:extLst>
            <a:ext uri="{FF2B5EF4-FFF2-40B4-BE49-F238E27FC236}">
              <a16:creationId xmlns:a16="http://schemas.microsoft.com/office/drawing/2014/main" id="{73A84CA5-151D-4003-A22A-B4775D92F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645583</xdr:colOff>
      <xdr:row>48</xdr:row>
      <xdr:rowOff>73023</xdr:rowOff>
    </xdr:from>
    <xdr:to>
      <xdr:col>17</xdr:col>
      <xdr:colOff>2871543</xdr:colOff>
      <xdr:row>70</xdr:row>
      <xdr:rowOff>52916</xdr:rowOff>
    </xdr:to>
    <xdr:grpSp>
      <xdr:nvGrpSpPr>
        <xdr:cNvPr id="7" name="Group 6">
          <a:extLst>
            <a:ext uri="{FF2B5EF4-FFF2-40B4-BE49-F238E27FC236}">
              <a16:creationId xmlns:a16="http://schemas.microsoft.com/office/drawing/2014/main" id="{68A3E73B-222A-4EEB-8959-CE61C58A91A8}"/>
            </a:ext>
          </a:extLst>
        </xdr:cNvPr>
        <xdr:cNvGrpSpPr/>
      </xdr:nvGrpSpPr>
      <xdr:grpSpPr>
        <a:xfrm>
          <a:off x="8064500" y="21334940"/>
          <a:ext cx="8004460" cy="4170893"/>
          <a:chOff x="5783792" y="9058273"/>
          <a:chExt cx="5184000" cy="3816000"/>
        </a:xfrm>
      </xdr:grpSpPr>
      <mc:AlternateContent xmlns:mc="http://schemas.openxmlformats.org/markup-compatibility/2006">
        <mc:Choice xmlns:cx6="http://schemas.microsoft.com/office/drawing/2016/5/12/chartex" Requires="cx6">
          <xdr:graphicFrame macro="">
            <xdr:nvGraphicFramePr>
              <xdr:cNvPr id="8" name="Chart 7">
                <a:extLst>
                  <a:ext uri="{FF2B5EF4-FFF2-40B4-BE49-F238E27FC236}">
                    <a16:creationId xmlns:a16="http://schemas.microsoft.com/office/drawing/2014/main" id="{B1820883-8338-C1AA-059E-E2D7BF2A74C3}"/>
                  </a:ext>
                </a:extLst>
              </xdr:cNvPr>
              <xdr:cNvGraphicFramePr/>
            </xdr:nvGraphicFramePr>
            <xdr:xfrm>
              <a:off x="5783792" y="9058273"/>
              <a:ext cx="5184000" cy="3816000"/>
            </xdr:xfrm>
            <a:graphic>
              <a:graphicData uri="http://schemas.microsoft.com/office/drawing/2014/chartex">
                <cx:chart xmlns:cx="http://schemas.microsoft.com/office/drawing/2014/chartex" xmlns:r="http://schemas.openxmlformats.org/officeDocument/2006/relationships" r:id="rId5"/>
              </a:graphicData>
            </a:graphic>
          </xdr:graphicFrame>
        </mc:Choice>
        <mc:Fallback>
          <xdr:sp macro="" textlink="">
            <xdr:nvSpPr>
              <xdr:cNvPr id="0" name=""/>
              <xdr:cNvSpPr>
                <a:spLocks noTextEdit="1"/>
              </xdr:cNvSpPr>
            </xdr:nvSpPr>
            <xdr:spPr>
              <a:xfrm>
                <a:off x="5783792" y="9058273"/>
                <a:ext cx="5184000" cy="3816000"/>
              </a:xfrm>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sp macro="" textlink="">
        <xdr:nvSpPr>
          <xdr:cNvPr id="9" name="TextBox 8">
            <a:extLst>
              <a:ext uri="{FF2B5EF4-FFF2-40B4-BE49-F238E27FC236}">
                <a16:creationId xmlns:a16="http://schemas.microsoft.com/office/drawing/2014/main" id="{06A34F18-1CEC-10EB-5551-978C8FAF4278}"/>
              </a:ext>
            </a:extLst>
          </xdr:cNvPr>
          <xdr:cNvSpPr txBox="1"/>
        </xdr:nvSpPr>
        <xdr:spPr>
          <a:xfrm>
            <a:off x="8244416" y="11059585"/>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8%</a:t>
            </a:r>
          </a:p>
        </xdr:txBody>
      </xdr:sp>
      <xdr:sp macro="" textlink="">
        <xdr:nvSpPr>
          <xdr:cNvPr id="10" name="TextBox 9">
            <a:extLst>
              <a:ext uri="{FF2B5EF4-FFF2-40B4-BE49-F238E27FC236}">
                <a16:creationId xmlns:a16="http://schemas.microsoft.com/office/drawing/2014/main" id="{8ADC277E-EFBE-5FF8-8430-979497851C70}"/>
              </a:ext>
            </a:extLst>
          </xdr:cNvPr>
          <xdr:cNvSpPr txBox="1"/>
        </xdr:nvSpPr>
        <xdr:spPr>
          <a:xfrm>
            <a:off x="8885044" y="10452028"/>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4%</a:t>
            </a:r>
          </a:p>
        </xdr:txBody>
      </xdr:sp>
      <xdr:sp macro="" textlink="">
        <xdr:nvSpPr>
          <xdr:cNvPr id="11" name="TextBox 10">
            <a:extLst>
              <a:ext uri="{FF2B5EF4-FFF2-40B4-BE49-F238E27FC236}">
                <a16:creationId xmlns:a16="http://schemas.microsoft.com/office/drawing/2014/main" id="{587936B6-F268-A643-F796-04D17DCEFD40}"/>
              </a:ext>
            </a:extLst>
          </xdr:cNvPr>
          <xdr:cNvSpPr txBox="1"/>
        </xdr:nvSpPr>
        <xdr:spPr>
          <a:xfrm>
            <a:off x="8587008" y="11698598"/>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3%</a:t>
            </a:r>
          </a:p>
        </xdr:txBody>
      </xdr:sp>
      <xdr:sp macro="" textlink="">
        <xdr:nvSpPr>
          <xdr:cNvPr id="12" name="TextBox 11">
            <a:extLst>
              <a:ext uri="{FF2B5EF4-FFF2-40B4-BE49-F238E27FC236}">
                <a16:creationId xmlns:a16="http://schemas.microsoft.com/office/drawing/2014/main" id="{C683EFB6-1366-A8C5-F180-AA3894E54AE2}"/>
              </a:ext>
            </a:extLst>
          </xdr:cNvPr>
          <xdr:cNvSpPr txBox="1"/>
        </xdr:nvSpPr>
        <xdr:spPr>
          <a:xfrm>
            <a:off x="8056034" y="12098867"/>
            <a:ext cx="42333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3%</a:t>
            </a:r>
          </a:p>
        </xdr:txBody>
      </xdr:sp>
      <xdr:sp macro="" textlink="">
        <xdr:nvSpPr>
          <xdr:cNvPr id="13" name="Rectangle 12">
            <a:extLst>
              <a:ext uri="{FF2B5EF4-FFF2-40B4-BE49-F238E27FC236}">
                <a16:creationId xmlns:a16="http://schemas.microsoft.com/office/drawing/2014/main" id="{C8EA3A48-4C46-0376-3AD9-AFFB2D7DA460}"/>
              </a:ext>
            </a:extLst>
          </xdr:cNvPr>
          <xdr:cNvSpPr/>
        </xdr:nvSpPr>
        <xdr:spPr>
          <a:xfrm>
            <a:off x="9281584" y="12213167"/>
            <a:ext cx="158750" cy="137583"/>
          </a:xfrm>
          <a:prstGeom prst="rect">
            <a:avLst/>
          </a:prstGeom>
          <a:solidFill>
            <a:srgbClr val="2198CD"/>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4" name="TextBox 13">
            <a:extLst>
              <a:ext uri="{FF2B5EF4-FFF2-40B4-BE49-F238E27FC236}">
                <a16:creationId xmlns:a16="http://schemas.microsoft.com/office/drawing/2014/main" id="{CE271415-C5BE-0E5A-FE5E-3E41222E1A9E}"/>
              </a:ext>
            </a:extLst>
          </xdr:cNvPr>
          <xdr:cNvSpPr txBox="1"/>
        </xdr:nvSpPr>
        <xdr:spPr>
          <a:xfrm>
            <a:off x="9417049" y="12136968"/>
            <a:ext cx="137795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bg2">
                    <a:lumMod val="25000"/>
                  </a:schemeClr>
                </a:solidFill>
                <a:latin typeface="Segoe UI" panose="020B0502040204020203" pitchFamily="34" charset="0"/>
                <a:cs typeface="Segoe UI" panose="020B0502040204020203" pitchFamily="34" charset="0"/>
              </a:rPr>
              <a:t>11% - Pulverizado</a:t>
            </a:r>
          </a:p>
        </xdr:txBody>
      </xdr:sp>
    </xdr:grpSp>
    <xdr:clientData/>
  </xdr:twoCellAnchor>
  <xdr:oneCellAnchor>
    <xdr:from>
      <xdr:col>1</xdr:col>
      <xdr:colOff>35486</xdr:colOff>
      <xdr:row>0</xdr:row>
      <xdr:rowOff>169957</xdr:rowOff>
    </xdr:from>
    <xdr:ext cx="2084187" cy="401544"/>
    <xdr:pic>
      <xdr:nvPicPr>
        <xdr:cNvPr id="19" name="Imagem 3">
          <a:extLst>
            <a:ext uri="{FF2B5EF4-FFF2-40B4-BE49-F238E27FC236}">
              <a16:creationId xmlns:a16="http://schemas.microsoft.com/office/drawing/2014/main" id="{4012D720-8DC5-4EBB-B4BF-1CE4C5FBCAD0}"/>
            </a:ext>
          </a:extLst>
        </xdr:cNvPr>
        <xdr:cNvPicPr>
          <a:picLocks noChangeAspect="1"/>
        </xdr:cNvPicPr>
      </xdr:nvPicPr>
      <xdr:blipFill rotWithShape="1">
        <a:blip xmlns:r="http://schemas.openxmlformats.org/officeDocument/2006/relationships" r:embed="rId6"/>
        <a:srcRect l="11287" t="42147" r="10164" b="42558"/>
        <a:stretch/>
      </xdr:blipFill>
      <xdr:spPr>
        <a:xfrm>
          <a:off x="149786" y="169957"/>
          <a:ext cx="2084187" cy="4015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35486</xdr:colOff>
      <xdr:row>0</xdr:row>
      <xdr:rowOff>169957</xdr:rowOff>
    </xdr:from>
    <xdr:ext cx="2084187" cy="401544"/>
    <xdr:pic>
      <xdr:nvPicPr>
        <xdr:cNvPr id="3" name="Imagem 3">
          <a:extLst>
            <a:ext uri="{FF2B5EF4-FFF2-40B4-BE49-F238E27FC236}">
              <a16:creationId xmlns:a16="http://schemas.microsoft.com/office/drawing/2014/main" id="{920B2429-0910-481D-804C-00D7BFA3DE04}"/>
            </a:ext>
          </a:extLst>
        </xdr:cNvPr>
        <xdr:cNvPicPr>
          <a:picLocks noChangeAspect="1"/>
        </xdr:cNvPicPr>
      </xdr:nvPicPr>
      <xdr:blipFill rotWithShape="1">
        <a:blip xmlns:r="http://schemas.openxmlformats.org/officeDocument/2006/relationships" r:embed="rId1"/>
        <a:srcRect l="11287" t="42147" r="10164" b="42558"/>
        <a:stretch/>
      </xdr:blipFill>
      <xdr:spPr>
        <a:xfrm>
          <a:off x="149786" y="169957"/>
          <a:ext cx="2084187" cy="401544"/>
        </a:xfrm>
        <a:prstGeom prst="rect">
          <a:avLst/>
        </a:prstGeom>
      </xdr:spPr>
    </xdr:pic>
    <xdr:clientData/>
  </xdr:oneCellAnchor>
</xdr:wsDr>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Santa%20Catarina%20(state)" TargetMode="External"/><Relationship Id="rId13" Type="http://schemas.openxmlformats.org/officeDocument/2006/relationships/hyperlink" Target="https://www.bing.com/th?id=OSK.bd02a1429938bca1dc5bc8304028bb0c&amp;qlt=95" TargetMode="External"/><Relationship Id="rId18" Type="http://schemas.openxmlformats.org/officeDocument/2006/relationships/hyperlink" Target="https://www.bing.com/images/search?form=xlimg&amp;q=Par%c3%a1" TargetMode="External"/><Relationship Id="rId3" Type="http://schemas.openxmlformats.org/officeDocument/2006/relationships/hyperlink" Target="https://www.bing.com/th?id=OSK.29751007cf160ea55ecca603ade1abb0&amp;qlt=95" TargetMode="External"/><Relationship Id="rId7" Type="http://schemas.openxmlformats.org/officeDocument/2006/relationships/hyperlink" Target="https://www.bing.com/th?id=OSK.96286a1b4735a8da35f6bbec4fbdfee2&amp;qlt=95" TargetMode="External"/><Relationship Id="rId12" Type="http://schemas.openxmlformats.org/officeDocument/2006/relationships/hyperlink" Target="https://www.bing.com/images/search?form=xlimg&amp;q=Mato%20Grosso" TargetMode="External"/><Relationship Id="rId17" Type="http://schemas.openxmlformats.org/officeDocument/2006/relationships/hyperlink" Target="https://www.bing.com/th?id=OSK.3f1aa2cecd23eda384e0adf561cc8902&amp;qlt=95" TargetMode="External"/><Relationship Id="rId2" Type="http://schemas.openxmlformats.org/officeDocument/2006/relationships/hyperlink" Target="https://www.bing.com/images/search?form=xlimg&amp;q=S%c3%a3o%20Paulo%20(state)" TargetMode="External"/><Relationship Id="rId16" Type="http://schemas.openxmlformats.org/officeDocument/2006/relationships/hyperlink" Target="https://www.bing.com/images/search?form=xlimg&amp;q=Rio%20Grande%20do%20Sul" TargetMode="External"/><Relationship Id="rId20" Type="http://schemas.openxmlformats.org/officeDocument/2006/relationships/hyperlink" Target="https://www.bing.com/images/search?form=xlimg&amp;q=Pernambuco" TargetMode="External"/><Relationship Id="rId1" Type="http://schemas.openxmlformats.org/officeDocument/2006/relationships/hyperlink" Target="https://www.bing.com/th?id=OSK.7695e189827b940b156ea581416a4286&amp;qlt=95" TargetMode="External"/><Relationship Id="rId6" Type="http://schemas.openxmlformats.org/officeDocument/2006/relationships/hyperlink" Target="https://www.bing.com/images/search?form=xlimg&amp;q=Goi%c3%a1s" TargetMode="External"/><Relationship Id="rId11" Type="http://schemas.openxmlformats.org/officeDocument/2006/relationships/hyperlink" Target="https://www.bing.com/th?id=OSK.0082cb89dce5beef60cc242fa84879b9&amp;qlt=95" TargetMode="External"/><Relationship Id="rId5" Type="http://schemas.openxmlformats.org/officeDocument/2006/relationships/hyperlink" Target="https://www.bing.com/th?id=OSK.68d4a005d24a76aec4298ebda56c17de&amp;qlt=95" TargetMode="External"/><Relationship Id="rId15" Type="http://schemas.openxmlformats.org/officeDocument/2006/relationships/hyperlink" Target="https://www.bing.com/th?id=OSK.7bf0281a457e9e15fbe8aee95bf85562&amp;qlt=95" TargetMode="External"/><Relationship Id="rId10" Type="http://schemas.openxmlformats.org/officeDocument/2006/relationships/hyperlink" Target="https://www.bing.com/images/search?form=xlimg&amp;q=Federal%20District%20(Brazil)" TargetMode="External"/><Relationship Id="rId19" Type="http://schemas.openxmlformats.org/officeDocument/2006/relationships/hyperlink" Target="https://www.bing.com/th?id=OSK.1a81c0cb9c1bf94f97de66c7dbf24592&amp;qlt=95" TargetMode="External"/><Relationship Id="rId4" Type="http://schemas.openxmlformats.org/officeDocument/2006/relationships/hyperlink" Target="https://www.bing.com/images/search?form=xlimg&amp;q=Minas%20Gerais" TargetMode="External"/><Relationship Id="rId9" Type="http://schemas.openxmlformats.org/officeDocument/2006/relationships/hyperlink" Target="https://www.bing.com/th?id=OSK.14910895dabf26c75c08467f23c20f8b&amp;qlt=95" TargetMode="External"/><Relationship Id="rId14" Type="http://schemas.openxmlformats.org/officeDocument/2006/relationships/hyperlink" Target="https://www.bing.com/images/search?form=xlimg&amp;q=Rio%20de%20Janeiro%20(state)"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Srd>
</file>

<file path=xl/richData/rdarray.xml><?xml version="1.0" encoding="utf-8"?>
<arrayData xmlns="http://schemas.microsoft.com/office/spreadsheetml/2017/richdata2" count="10">
  <a r="1">
    <v t="r">5</v>
  </a>
  <a r="1">
    <v t="r">15</v>
  </a>
  <a r="1">
    <v t="r">24</v>
  </a>
  <a r="1">
    <v t="r">33</v>
  </a>
  <a r="4">
    <v t="r">43</v>
    <v t="r">44</v>
    <v t="r">45</v>
    <v t="r">46</v>
  </a>
  <a r="1">
    <v t="r">55</v>
  </a>
  <a r="1">
    <v t="r">64</v>
  </a>
  <a r="1">
    <v t="r">73</v>
  </a>
  <a r="1">
    <v t="r">82</v>
  </a>
  <a r="1">
    <v t="r">91</v>
  </a>
</arrayData>
</file>

<file path=xl/richData/rdrichvalue.xml><?xml version="1.0" encoding="utf-8"?>
<rvData xmlns="http://schemas.microsoft.com/office/spreadsheetml/2017/richdata" count="95">
  <rv s="0">
    <v>536870912</v>
    <v>São Paulo</v>
    <v>4d56ae2d-1aad-8c4f-dca2-4456acc12f89</v>
    <v>pt-BR</v>
    <v>Map</v>
  </rv>
  <rv s="1">
    <fb>248209.4</fb>
    <v>10</v>
  </rv>
  <rv s="0">
    <v>536870912</v>
    <v>São Paulo</v>
    <v>c6cf2f6e-626c-4267-ae48-9e13ea74d2b9</v>
    <v>pt-BR</v>
    <v>Map</v>
  </rv>
  <rv s="2">
    <v>0</v>
    <v>8</v>
    <v>0</v>
    <v>7</v>
    <v>0</v>
    <v>Image of São Paulo</v>
  </rv>
  <rv s="3">
    <v>https://www.bing.com/search?q=S%c3%a3o+Paulo+estado&amp;form=skydnc</v>
    <v>Aprenda mais com Bing</v>
  </rv>
  <rv s="0">
    <v>805306368</v>
    <v>Tarcísio de Freitas (Governador)</v>
    <v>a0d931ae-b6e5-eae6-15ae-9ea3265ba02e</v>
    <v>pt-BR</v>
    <v>Generic</v>
  </rv>
  <rv s="4">
    <v>0</v>
  </rv>
  <rv s="0">
    <v>536870912</v>
    <v>Brasil</v>
    <v>a828cf41-b938-49fe-7986-4b336618d413</v>
    <v>pt-BR</v>
    <v>Map</v>
  </rv>
  <rv s="1">
    <fb>45595497</fb>
    <v>10</v>
  </rv>
  <rv s="5">
    <v>#VALUE!</v>
    <v>pt-BR</v>
    <v>4d56ae2d-1aad-8c4f-dca2-4456acc12f89</v>
    <v>536870912</v>
    <v>1</v>
    <v>2</v>
    <v>3</v>
    <v>4</v>
    <v>São Paulo</v>
    <v>6</v>
    <v>7</v>
    <v>Map</v>
    <v>8</v>
    <v>9</v>
    <v>BR-SP</v>
    <v>1</v>
    <v>2</v>
    <v>São Paulo is one of the 26 states of the Federative Republic of Brazil and is named after Saint Paul of Tarsus. It is located in the Southeast Region and is limited by the states of Minas Gerais to the north and northeast, Paraná to the south, ...</v>
    <v>3</v>
    <v>4</v>
    <v>6</v>
    <v>2</v>
    <v>São Paulo</v>
    <v>7</v>
    <v>8</v>
    <v>São Paulo</v>
    <v>mdp/vdpid/29821</v>
  </rv>
  <rv s="0">
    <v>536870912</v>
    <v>Minas Gerais</v>
    <v>974e2066-dee0-aecd-c973-50babb750033</v>
    <v>pt-BR</v>
    <v>Map</v>
  </rv>
  <rv s="1">
    <fb>586514</fb>
    <v>10</v>
  </rv>
  <rv s="0">
    <v>536870912</v>
    <v>Belo Horizonte</v>
    <v>7d1c2d93-f138-98ba-29b3-c39c6ce5b7d8</v>
    <v>pt-BR</v>
    <v>Map</v>
  </rv>
  <rv s="2">
    <v>1</v>
    <v>8</v>
    <v>11</v>
    <v>7</v>
    <v>0</v>
    <v>Image of Minas Gerais</v>
  </rv>
  <rv s="3">
    <v>https://www.bing.com/search?q=Minas+Gerais&amp;form=skydnc</v>
    <v>Aprenda mais com Bing</v>
  </rv>
  <rv s="0">
    <v>805306368</v>
    <v>Romeu Zema (Governador)</v>
    <v>0b49577b-e092-186e-762c-adfe99963c80</v>
    <v>pt-BR</v>
    <v>Generic</v>
  </rv>
  <rv s="4">
    <v>1</v>
  </rv>
  <rv s="1">
    <fb>21119536</fb>
    <v>10</v>
  </rv>
  <rv s="5">
    <v>#VALUE!</v>
    <v>pt-BR</v>
    <v>974e2066-dee0-aecd-c973-50babb750033</v>
    <v>536870912</v>
    <v>1</v>
    <v>13</v>
    <v>3</v>
    <v>4</v>
    <v>Minas Gerais</v>
    <v>6</v>
    <v>7</v>
    <v>Map</v>
    <v>8</v>
    <v>14</v>
    <v>BR-MG</v>
    <v>11</v>
    <v>12</v>
    <v>Minas Gerais is one of the 27 federative units of Brazil, being the fourth largest state by area and the second largest in number of inhabitants with a population of 20,539,989 according to the 2022 census. Located in the Southeast Region of the ...</v>
    <v>13</v>
    <v>14</v>
    <v>16</v>
    <v>12</v>
    <v>Minas Gerais</v>
    <v>7</v>
    <v>17</v>
    <v>Minas Gerais</v>
    <v>mdp/vdpid/37692</v>
  </rv>
  <rv s="0">
    <v>536870912</v>
    <v>Goiás</v>
    <v>38750702-647a-b72a-2cec-e4a55e078f36</v>
    <v>pt-BR</v>
    <v>Map</v>
  </rv>
  <rv s="1">
    <fb>340086</fb>
    <v>10</v>
  </rv>
  <rv s="0">
    <v>536870912</v>
    <v>Goiânia</v>
    <v>1829f4c1-96fd-bd18-3015-b31e76f2f860</v>
    <v>pt-BR</v>
    <v>Map</v>
  </rv>
  <rv s="2">
    <v>2</v>
    <v>8</v>
    <v>15</v>
    <v>7</v>
    <v>0</v>
    <v>Image of Goiás</v>
  </rv>
  <rv s="3">
    <v>https://www.bing.com/search?q=Goi%c3%a1s&amp;form=skydnc</v>
    <v>Aprenda mais com Bing</v>
  </rv>
  <rv s="0">
    <v>805306368</v>
    <v>Ronaldo Caiado (Governador)</v>
    <v>9ca0a890-509d-b68d-cec0-182352886568</v>
    <v>pt-BR</v>
    <v>Generic</v>
  </rv>
  <rv s="4">
    <v>2</v>
  </rv>
  <rv s="1">
    <fb>6778772</fb>
    <v>10</v>
  </rv>
  <rv s="5">
    <v>#VALUE!</v>
    <v>pt-BR</v>
    <v>38750702-647a-b72a-2cec-e4a55e078f36</v>
    <v>536870912</v>
    <v>1</v>
    <v>17</v>
    <v>3</v>
    <v>4</v>
    <v>Goiás</v>
    <v>6</v>
    <v>7</v>
    <v>Map</v>
    <v>8</v>
    <v>14</v>
    <v>BR-GO</v>
    <v>20</v>
    <v>21</v>
    <v>Goiás is a Brazilian state located in the Center-West region. Goiás borders the Federal District and the states of Tocantins, Bahia, Minas Gerais, Mato Grosso do Sul and Mato Grosso. The state capital is Goiânia. With 7.2 million inhabitants, ...</v>
    <v>22</v>
    <v>23</v>
    <v>25</v>
    <v>21</v>
    <v>Goiás</v>
    <v>7</v>
    <v>26</v>
    <v>Goiás</v>
    <v>mdp/vdpid/12285</v>
  </rv>
  <rv s="0">
    <v>536870912</v>
    <v>Santa Catarina</v>
    <v>6262969d-76c7-e65f-1be5-668011a93ff0</v>
    <v>pt-BR</v>
    <v>Map</v>
  </rv>
  <rv s="1">
    <fb>95730.7</fb>
    <v>10</v>
  </rv>
  <rv s="0">
    <v>536870912</v>
    <v>Florianópolis</v>
    <v>21bdeb41-fb0e-9537-f2bb-6ca2732f1d96</v>
    <v>pt-BR</v>
    <v>Map</v>
  </rv>
  <rv s="2">
    <v>3</v>
    <v>8</v>
    <v>18</v>
    <v>7</v>
    <v>0</v>
    <v>Image of Santa Catarina</v>
  </rv>
  <rv s="3">
    <v>https://www.bing.com/search?q=Santa+Catarina&amp;form=skydnc</v>
    <v>Aprenda mais com Bing</v>
  </rv>
  <rv s="0">
    <v>805306368</v>
    <v>Jorginho Mello (Governador)</v>
    <v>435e3e8f-9115-80bc-41ec-9f57a3d2e500</v>
    <v>pt-BR</v>
    <v>Generic</v>
  </rv>
  <rv s="4">
    <v>3</v>
  </rv>
  <rv s="0">
    <v>536870912</v>
    <v>Joinville</v>
    <v>5e86234b-4bd7-a488-c6bc-8ed280c1c890</v>
    <v>pt-BR</v>
    <v>Map</v>
  </rv>
  <rv s="1">
    <fb>7001161</fb>
    <v>10</v>
  </rv>
  <rv s="5">
    <v>#VALUE!</v>
    <v>pt-BR</v>
    <v>6262969d-76c7-e65f-1be5-668011a93ff0</v>
    <v>536870912</v>
    <v>1</v>
    <v>20</v>
    <v>3</v>
    <v>4</v>
    <v>Santa Catarina</v>
    <v>6</v>
    <v>7</v>
    <v>Map</v>
    <v>8</v>
    <v>14</v>
    <v>BR-SC</v>
    <v>29</v>
    <v>30</v>
    <v>Santa Catarina is one of the 27 federative units of Brazil. It is located in the centre of the country's Southern region. It is bordered to the north by the state of Paraná, to the south by the state of Rio Grande do Sul, to the east by the ...</v>
    <v>31</v>
    <v>32</v>
    <v>34</v>
    <v>35</v>
    <v>Santa Catarina</v>
    <v>7</v>
    <v>36</v>
    <v>Santa Catarina</v>
    <v>mdp/vdpid/29612</v>
  </rv>
  <rv s="0">
    <v>536870912</v>
    <v>Federal District</v>
    <v>88dfc3b6-8e7a-694d-61b2-96d14f226ec4</v>
    <v>pt-BR</v>
    <v>Map</v>
  </rv>
  <rv s="1">
    <fb>5760.8</fb>
    <v>10</v>
  </rv>
  <rv s="0">
    <v>536870912</v>
    <v>Brasília</v>
    <v>0f4c1a26-f33c-b6de-a63f-578da6617369</v>
    <v>pt-BR</v>
    <v>Map</v>
  </rv>
  <rv s="2">
    <v>4</v>
    <v>8</v>
    <v>21</v>
    <v>7</v>
    <v>0</v>
    <v>Image of Federal District</v>
  </rv>
  <rv s="3">
    <v>https://www.bing.com/search?q=Distrito+Federal+Brasil&amp;form=skydnc</v>
    <v>Aprenda mais com Bing</v>
  </rv>
  <rv s="0">
    <v>805306368</v>
    <v>Ibaneis Rocha (Governador)</v>
    <v>57245eaa-8160-7a5c-b756-608805c52133</v>
    <v>pt-BR</v>
    <v>Generic</v>
  </rv>
  <rv s="0">
    <v>805306368</v>
    <v>Damares Alves (Senado)</v>
    <v>660fd674-bcb2-b6bb-c1d4-a983df83078f</v>
    <v>pt-BR</v>
    <v>Generic</v>
  </rv>
  <rv s="0">
    <v>805306368</v>
    <v>Izalci Lucas (Senado)</v>
    <v>738a22f9-28aa-39b2-1902-9cc1421471ad</v>
    <v>pt-BR</v>
    <v>Generic</v>
  </rv>
  <rv s="0">
    <v>805306368</v>
    <v>Leila Barros (Senado)</v>
    <v>24f9d264-fb70-785c-4b29-417717f7f396</v>
    <v>pt-BR</v>
    <v>Generic</v>
  </rv>
  <rv s="4">
    <v>4</v>
  </rv>
  <rv s="1">
    <fb>3039444</fb>
    <v>10</v>
  </rv>
  <rv s="5">
    <v>#VALUE!</v>
    <v>pt-BR</v>
    <v>88dfc3b6-8e7a-694d-61b2-96d14f226ec4</v>
    <v>536870912</v>
    <v>1</v>
    <v>23</v>
    <v>3</v>
    <v>4</v>
    <v>Federal District</v>
    <v>6</v>
    <v>7</v>
    <v>Map</v>
    <v>8</v>
    <v>14</v>
    <v>BR-DF</v>
    <v>39</v>
    <v>40</v>
    <v>The Federal District is one of 27 federative units of Brazil. Located in the Center-West Region, it is the smallest Brazilian federal unit and the only one that has no municipalities, being divided into 33 administrative regions. The federal ...</v>
    <v>41</v>
    <v>42</v>
    <v>47</v>
    <v>40</v>
    <v>Federal District</v>
    <v>7</v>
    <v>48</v>
    <v>Federal District</v>
    <v>mdp/vdpid/9132</v>
  </rv>
  <rv s="0">
    <v>536870912</v>
    <v>Mato Grosso</v>
    <v>af05c757-4d77-813e-b8eb-97635c07f37a</v>
    <v>pt-BR</v>
    <v>Map</v>
  </rv>
  <rv s="1">
    <fb>903357</fb>
    <v>10</v>
  </rv>
  <rv s="0">
    <v>536870912</v>
    <v>Cuiabá</v>
    <v>40ab2387-3bef-ed49-417a-241a85867199</v>
    <v>pt-BR</v>
    <v>Map</v>
  </rv>
  <rv s="2">
    <v>5</v>
    <v>8</v>
    <v>24</v>
    <v>7</v>
    <v>0</v>
    <v>Image of Mato Grosso</v>
  </rv>
  <rv s="3">
    <v>https://www.bing.com/search?q=Mato+Grosso&amp;form=skydnc</v>
    <v>Aprenda mais com Bing</v>
  </rv>
  <rv s="0">
    <v>805306368</v>
    <v>Mauro Mendes (Governador)</v>
    <v>89fde148-6595-30ce-b8c6-035fd8e99daf</v>
    <v>pt-BR</v>
    <v>Generic</v>
  </rv>
  <rv s="4">
    <v>5</v>
  </rv>
  <rv s="1">
    <fb>3344544</fb>
    <v>10</v>
  </rv>
  <rv s="5">
    <v>#VALUE!</v>
    <v>pt-BR</v>
    <v>af05c757-4d77-813e-b8eb-97635c07f37a</v>
    <v>536870912</v>
    <v>1</v>
    <v>26</v>
    <v>3</v>
    <v>4</v>
    <v>Mato Grosso</v>
    <v>6</v>
    <v>7</v>
    <v>Map</v>
    <v>8</v>
    <v>14</v>
    <v>BR-MT</v>
    <v>51</v>
    <v>52</v>
    <v>Mato Grosso is one of the states of Brazil, the third largest by area, located in the Central-West region. The state has 1.66% of the Brazilian population and is responsible for 1.9% of the Brazilian GDP.</v>
    <v>53</v>
    <v>54</v>
    <v>56</v>
    <v>52</v>
    <v>Mato Grosso</v>
    <v>7</v>
    <v>57</v>
    <v>Mato Grosso</v>
    <v>mdp/vdpid/20600</v>
  </rv>
  <rv s="0">
    <v>536870912</v>
    <v>Rio de Janeiro</v>
    <v>3f5a22fa-26bd-86f9-0345-3a6206e8aab5</v>
    <v>pt-BR</v>
    <v>Map</v>
  </rv>
  <rv s="1">
    <fb>43696.1</fb>
    <v>10</v>
  </rv>
  <rv s="0">
    <v>536870912</v>
    <v>Rio de Janeiro</v>
    <v>bd69fe3d-bddf-02b9-aeb0-0384ff4b73dd</v>
    <v>pt-BR</v>
    <v>Map</v>
  </rv>
  <rv s="2">
    <v>6</v>
    <v>8</v>
    <v>27</v>
    <v>7</v>
    <v>0</v>
    <v>Image of Rio de Janeiro</v>
  </rv>
  <rv s="3">
    <v>https://www.bing.com/search?q=Rio+de+Janeiro+estado&amp;form=skydnc</v>
    <v>Aprenda mais com Bing</v>
  </rv>
  <rv s="0">
    <v>805306368</v>
    <v>Cláudio Castro (Governador)</v>
    <v>4f6be35e-fc81-e7c7-4845-05268a59263a</v>
    <v>pt-BR</v>
    <v>Generic</v>
  </rv>
  <rv s="4">
    <v>6</v>
  </rv>
  <rv s="1">
    <fb>16718956</fb>
    <v>10</v>
  </rv>
  <rv s="5">
    <v>#VALUE!</v>
    <v>pt-BR</v>
    <v>3f5a22fa-26bd-86f9-0345-3a6206e8aab5</v>
    <v>536870912</v>
    <v>1</v>
    <v>29</v>
    <v>3</v>
    <v>4</v>
    <v>Rio de Janeiro</v>
    <v>6</v>
    <v>7</v>
    <v>Map</v>
    <v>8</v>
    <v>14</v>
    <v>BR-RJ</v>
    <v>60</v>
    <v>61</v>
    <v>Rio de Janeiro is one of the 27 federative units of Brazil. It has the second largest economy of Brazil, with the largest being that of the state of São Paulo. The state, which has 8.2% of the Brazilian population, is responsible for 9.2% of the ...</v>
    <v>62</v>
    <v>63</v>
    <v>65</v>
    <v>61</v>
    <v>Rio de Janeiro</v>
    <v>7</v>
    <v>66</v>
    <v>Rio de Janeiro</v>
    <v>mdp/vdpid/27818</v>
  </rv>
  <rv s="0">
    <v>536870912</v>
    <v>Rio Grande do Sul</v>
    <v>9644dbbf-be0c-de9c-a534-3d7ff4801a8b</v>
    <v>pt-BR</v>
    <v>Map</v>
  </rv>
  <rv s="1">
    <fb>281707.09999999998</fb>
    <v>10</v>
  </rv>
  <rv s="0">
    <v>536870912</v>
    <v>Porto Alegre</v>
    <v>59476ac7-9b13-46ab-560e-cdac4510fa7a</v>
    <v>pt-BR</v>
    <v>Map</v>
  </rv>
  <rv s="2">
    <v>7</v>
    <v>8</v>
    <v>30</v>
    <v>7</v>
    <v>0</v>
    <v>Image of Rio Grande do Sul</v>
  </rv>
  <rv s="3">
    <v>https://www.bing.com/search?q=Rio+Grande+do+Sul&amp;form=skydnc</v>
    <v>Aprenda mais com Bing</v>
  </rv>
  <rv s="0">
    <v>805306368</v>
    <v>Eduardo Leite (Governador)</v>
    <v>d1404a79-7938-b7c4-f205-661c23e903bb</v>
    <v>pt-BR</v>
    <v>Generic</v>
  </rv>
  <rv s="4">
    <v>7</v>
  </rv>
  <rv s="1">
    <fb>11322895</fb>
    <v>10</v>
  </rv>
  <rv s="5">
    <v>#VALUE!</v>
    <v>pt-BR</v>
    <v>9644dbbf-be0c-de9c-a534-3d7ff4801a8b</v>
    <v>536870912</v>
    <v>1</v>
    <v>32</v>
    <v>3</v>
    <v>4</v>
    <v>Rio Grande do Sul</v>
    <v>6</v>
    <v>7</v>
    <v>Map</v>
    <v>8</v>
    <v>14</v>
    <v>BR-RS</v>
    <v>69</v>
    <v>70</v>
    <v>Rio Grande do Sul is a state in the southern region of Brazil. It is the fifth-most populous state and the ninth-largest by area. Located in the southernmost part of the country, Rio Grande do Sul is bordered clockwise by Santa Catarina to the ...</v>
    <v>71</v>
    <v>72</v>
    <v>74</v>
    <v>70</v>
    <v>Rio Grande do Sul</v>
    <v>7</v>
    <v>75</v>
    <v>Rio Grande do Sul</v>
    <v>mdp/vdpid/27825</v>
  </rv>
  <rv s="0">
    <v>536870912</v>
    <v>Pará</v>
    <v>7a0db70a-73db-e83d-e548-6fab7a523b35</v>
    <v>pt-BR</v>
    <v>Map</v>
  </rv>
  <rv s="1">
    <fb>1245870.7</fb>
    <v>10</v>
  </rv>
  <rv s="0">
    <v>536870912</v>
    <v>Belém</v>
    <v>19b9814d-03b5-b9a5-2607-ca75413f8674</v>
    <v>pt-BR</v>
    <v>Map</v>
  </rv>
  <rv s="2">
    <v>8</v>
    <v>8</v>
    <v>33</v>
    <v>7</v>
    <v>0</v>
    <v>Image of Pará</v>
  </rv>
  <rv s="3">
    <v>https://www.bing.com/search?q=Par%c3%a1&amp;form=skydnc</v>
    <v>Aprenda mais com Bing</v>
  </rv>
  <rv s="0">
    <v>805306368</v>
    <v>Helder Barbalho (Governador)</v>
    <v>1323c458-fbb7-4141-9278-070cd6dc5c75</v>
    <v>pt-BR</v>
    <v>Generic</v>
  </rv>
  <rv s="4">
    <v>8</v>
  </rv>
  <rv s="1">
    <fb>8366628</fb>
    <v>10</v>
  </rv>
  <rv s="5">
    <v>#VALUE!</v>
    <v>pt-BR</v>
    <v>7a0db70a-73db-e83d-e548-6fab7a523b35</v>
    <v>536870912</v>
    <v>1</v>
    <v>35</v>
    <v>3</v>
    <v>4</v>
    <v>Pará</v>
    <v>6</v>
    <v>7</v>
    <v>Map</v>
    <v>8</v>
    <v>14</v>
    <v>BR-PA</v>
    <v>78</v>
    <v>79</v>
    <v>Pará is a state of Brazil, located in northern Brazil and traversed by the lower Amazon River. It borders the Brazilian states of Amapá, Maranhão, Tocantins, Mato Grosso, Amazonas and Roraima. To the northwest are the borders of Guyana and ...</v>
    <v>80</v>
    <v>81</v>
    <v>83</v>
    <v>79</v>
    <v>Pará</v>
    <v>7</v>
    <v>84</v>
    <v>Pará</v>
    <v>mdp/vdpid/25190</v>
  </rv>
  <rv s="0">
    <v>536870912</v>
    <v>Pernambuco</v>
    <v>5538aab1-15ae-294f-2c10-f5083201cca1</v>
    <v>pt-BR</v>
    <v>Map</v>
  </rv>
  <rv s="1">
    <fb>98937.8</fb>
    <v>10</v>
  </rv>
  <rv s="0">
    <v>536870912</v>
    <v>Recife</v>
    <v>56717c0d-ccb4-6a32-53ba-4a80ef2afa79</v>
    <v>pt-BR</v>
    <v>Map</v>
  </rv>
  <rv s="2">
    <v>9</v>
    <v>8</v>
    <v>36</v>
    <v>7</v>
    <v>0</v>
    <v>Image of Pernambuco</v>
  </rv>
  <rv s="3">
    <v>https://www.bing.com/search?q=Pernambuco&amp;form=skydnc</v>
    <v>Aprenda mais com Bing</v>
  </rv>
  <rv s="0">
    <v>805306368</v>
    <v>Raquel Lyra (Governador)</v>
    <v>296e2801-863f-736a-c819-215a140cdf8e</v>
    <v>pt-BR</v>
    <v>Generic</v>
  </rv>
  <rv s="4">
    <v>9</v>
  </rv>
  <rv s="1">
    <fb>9473266</fb>
    <v>10</v>
  </rv>
  <rv s="5">
    <v>#VALUE!</v>
    <v>pt-BR</v>
    <v>5538aab1-15ae-294f-2c10-f5083201cca1</v>
    <v>536870912</v>
    <v>1</v>
    <v>38</v>
    <v>3</v>
    <v>4</v>
    <v>Pernambuco</v>
    <v>6</v>
    <v>7</v>
    <v>Map</v>
    <v>8</v>
    <v>14</v>
    <v>BR-PE</v>
    <v>87</v>
    <v>88</v>
    <v>Pernambuco is a state of Brazil, located in the Northeast region of the country. With an estimated population of 9 million people as of 2022, it is the seventh-most populous state of Brazil and with around 98,067.877 km², it is the 19th-largest ...</v>
    <v>89</v>
    <v>90</v>
    <v>92</v>
    <v>88</v>
    <v>Pernambuco</v>
    <v>7</v>
    <v>93</v>
    <v>Pernambuco</v>
    <v>mdp/vdpid/25687</v>
  </rv>
</rvData>
</file>

<file path=xl/richData/rdrichvaluestructure.xml><?xml version="1.0" encoding="utf-8"?>
<rvStructures xmlns="http://schemas.microsoft.com/office/spreadsheetml/2017/richdata" count="6">
  <s t="_linkedentity2">
    <k n="%EntityServiceId" t="i"/>
    <k n="_DisplayString" t="s"/>
    <k n="%EntityId" t="s"/>
    <k n="%EntityCulture" t="s"/>
    <k n="_Icon" t="s"/>
  </s>
  <s t="_formattednumber">
    <k n="_Format" t="spb"/>
  </s>
  <s t="_webimage">
    <k n="WebImageIdentifier" t="i"/>
    <k n="_Provider" t="spb"/>
    <k n="Attribution" t="spb"/>
    <k n="CalcOrigin" t="i"/>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eviação" t="s"/>
    <k n="`Área" t="r"/>
    <k n="Capital/Maior Cidade" t="r"/>
    <k n="Descrição" t="s"/>
    <k n="Imagem" t="r"/>
    <k n="LearnMoreOnLink" t="r"/>
    <k n="Líder(es)" t="r"/>
    <k n="Maior cidade" t="r"/>
    <k n="Nome" t="s"/>
    <k n="País/região" t="r"/>
    <k n="População" t="r"/>
    <k n="UniqueName" t="s"/>
    <k n="VDPID/VSID" t="s"/>
  </s>
</rvStructures>
</file>

<file path=xl/richData/rdsupportingpropertybag.xml><?xml version="1.0" encoding="utf-8"?>
<supportingPropertyBags xmlns="http://schemas.microsoft.com/office/spreadsheetml/2017/richdata2">
  <spbArrays count="1">
    <a count="26">
      <v t="s">%EntityServiceId</v>
      <v t="s">%IsRefreshable</v>
      <v t="s">_CanonicalPropertyNames</v>
      <v t="s">%EntityCulture</v>
      <v t="s">%EntityId</v>
      <v t="s">_Icon</v>
      <v t="s">_Provider</v>
      <v t="s">_Attribution</v>
      <v t="s">_Display</v>
      <v t="s">Nome</v>
      <v t="s">_Format</v>
      <v t="s">Capital/Maior Cidade</v>
      <v t="s">Líder(es)</v>
      <v t="s">País/região</v>
      <v t="s">_SubLabel</v>
      <v t="s">População</v>
      <v t="s">`Área</v>
      <v t="s">Abreviação</v>
      <v t="s">Maior cidade</v>
      <v t="s">_Flags</v>
      <v t="s">VDPID/VSID</v>
      <v t="s">UniqueName</v>
      <v t="s">_DisplayString</v>
      <v t="s">LearnMoreOnLink</v>
      <v t="s">Imagem</v>
      <v t="s">Descrição</v>
    </a>
  </spbArrays>
  <spbData count="39">
    <spb s="0">
      <v xml:space="preserve">Wikipedia	</v>
      <v xml:space="preserve">CC BY-SA 3.0	</v>
      <v xml:space="preserve">https://en.wikipedia.org/wiki/S%C3%A3o_Paulo_(state)	</v>
      <v xml:space="preserve">https://creativecommons.org/licenses/by-sa/3.0	</v>
    </spb>
    <spb s="0">
      <v xml:space="preserve">Wikipedia	</v>
      <v xml:space="preserve">CC-BY-SA	</v>
      <v xml:space="preserve">http://en.wikipedia.org/wiki/São_Paulo_(state)	</v>
      <v xml:space="preserve">http://creativecommons.org/licenses/by-sa/3.0/	</v>
    </spb>
    <spb s="1">
      <v>0</v>
      <v>0</v>
      <v>0</v>
      <v>0</v>
      <v>1</v>
      <v>0</v>
      <v>0</v>
      <v>0</v>
      <v>0</v>
    </spb>
    <spb s="2">
      <v>Name</v>
      <v>Area</v>
      <v>Image</v>
      <v>Description</v>
      <v>Population</v>
      <v>Abbreviation</v>
      <v>UniqueName</v>
      <v>VDPID/VSID</v>
      <v>Country/region</v>
      <v>Largest city</v>
      <v>LearnMoreOnLink</v>
      <v>Capital/Major City</v>
    </spb>
    <spb s="3">
      <v>0</v>
      <v>Name</v>
      <v>LearnMoreOnLink</v>
    </spb>
    <spb s="4">
      <v>0</v>
      <v>0</v>
      <v>0</v>
    </spb>
    <spb s="5">
      <v>5</v>
      <v>5</v>
      <v>5</v>
    </spb>
    <spb s="6">
      <v>1</v>
      <v>2</v>
    </spb>
    <spb s="7">
      <v>https://www.bing.com</v>
      <v>https://www.bing.com/th?id=Ga%5Cbing_yt.png&amp;w=100&amp;h=40&amp;c=0&amp;pid=0.1</v>
      <v>Da plataforma Bing</v>
    </spb>
    <spb s="8">
      <v>km quadrado</v>
      <v>2018</v>
    </spb>
    <spb s="9">
      <v>3</v>
    </spb>
    <spb s="0">
      <v xml:space="preserve">Wikipedia	</v>
      <v xml:space="preserve">CC BY-SA 3.0	</v>
      <v xml:space="preserve">https://en.wikipedia.org/wiki/Minas_Gerais	</v>
      <v xml:space="preserve">https://creativecommons.org/licenses/by-sa/3.0	</v>
    </spb>
    <spb s="0">
      <v xml:space="preserve">Wikipedia	</v>
      <v xml:space="preserve">CC-BY-SA	</v>
      <v xml:space="preserve">http://en.wikipedia.org/wiki/Minas_Gerais	</v>
      <v xml:space="preserve">http://creativecommons.org/licenses/by-sa/3.0/	</v>
    </spb>
    <spb s="1">
      <v>11</v>
      <v>11</v>
      <v>11</v>
      <v>11</v>
      <v>12</v>
      <v>11</v>
      <v>11</v>
      <v>11</v>
      <v>11</v>
    </spb>
    <spb s="8">
      <v>km quadrado</v>
      <v>2017</v>
    </spb>
    <spb s="0">
      <v xml:space="preserve">Wikipedia	</v>
      <v xml:space="preserve">CC BY-SA 3.0	</v>
      <v xml:space="preserve">https://en.wikipedia.org/wiki/Goi%C3%A1s	</v>
      <v xml:space="preserve">https://creativecommons.org/licenses/by-sa/3.0	</v>
    </spb>
    <spb s="0">
      <v xml:space="preserve">Wikipedia	</v>
      <v xml:space="preserve">CC-BY-SA	</v>
      <v xml:space="preserve">http://en.wikipedia.org/wiki/Goiás	</v>
      <v xml:space="preserve">http://creativecommons.org/licenses/by-sa/3.0/	</v>
    </spb>
    <spb s="1">
      <v>15</v>
      <v>15</v>
      <v>15</v>
      <v>15</v>
      <v>16</v>
      <v>15</v>
      <v>15</v>
      <v>15</v>
      <v>15</v>
    </spb>
    <spb s="0">
      <v xml:space="preserve">Wikipedia	</v>
      <v xml:space="preserve">CC BY-SA 3.0	</v>
      <v xml:space="preserve">https://en.wikipedia.org/wiki/Santa_Catarina_(state)	</v>
      <v xml:space="preserve">https://creativecommons.org/licenses/by-sa/3.0	</v>
    </spb>
    <spb s="0">
      <v xml:space="preserve">Wikipedia	</v>
      <v xml:space="preserve">CC-BY-SA	</v>
      <v xml:space="preserve">http://en.wikipedia.org/wiki/Santa_Catarina_(state)	</v>
      <v xml:space="preserve">http://creativecommons.org/licenses/by-sa/3.0/	</v>
    </spb>
    <spb s="1">
      <v>18</v>
      <v>18</v>
      <v>18</v>
      <v>18</v>
      <v>19</v>
      <v>18</v>
      <v>18</v>
      <v>18</v>
      <v>18</v>
    </spb>
    <spb s="0">
      <v xml:space="preserve">Wikipedia	</v>
      <v xml:space="preserve">CC BY-SA 3.0	</v>
      <v xml:space="preserve">https://en.wikipedia.org/wiki/Federal_District_(Brazil)	</v>
      <v xml:space="preserve">https://creativecommons.org/licenses/by-sa/3.0	</v>
    </spb>
    <spb s="0">
      <v xml:space="preserve">Wikipedia	</v>
      <v xml:space="preserve">CC-BY-SA	</v>
      <v xml:space="preserve">http://en.wikipedia.org/wiki/Federal_District_(Brazil)	</v>
      <v xml:space="preserve">http://creativecommons.org/licenses/by-sa/3.0/	</v>
    </spb>
    <spb s="1">
      <v>21</v>
      <v>21</v>
      <v>21</v>
      <v>21</v>
      <v>22</v>
      <v>21</v>
      <v>21</v>
      <v>21</v>
      <v>21</v>
    </spb>
    <spb s="0">
      <v xml:space="preserve">Wikipedia	</v>
      <v xml:space="preserve">CC BY-SA 3.0	</v>
      <v xml:space="preserve">https://en.wikipedia.org/wiki/Mato_Grosso	</v>
      <v xml:space="preserve">https://creativecommons.org/licenses/by-sa/3.0	</v>
    </spb>
    <spb s="0">
      <v xml:space="preserve">Wikipedia	</v>
      <v xml:space="preserve">CC-BY-SA	</v>
      <v xml:space="preserve">http://en.wikipedia.org/wiki/Mato_Grosso	</v>
      <v xml:space="preserve">http://creativecommons.org/licenses/by-sa/3.0/	</v>
    </spb>
    <spb s="1">
      <v>24</v>
      <v>24</v>
      <v>24</v>
      <v>24</v>
      <v>25</v>
      <v>24</v>
      <v>24</v>
      <v>24</v>
      <v>24</v>
    </spb>
    <spb s="0">
      <v xml:space="preserve">Wikipedia	</v>
      <v xml:space="preserve">CC BY-SA 3.0	</v>
      <v xml:space="preserve">https://en.wikipedia.org/wiki/Rio_de_Janeiro_(state)	</v>
      <v xml:space="preserve">https://creativecommons.org/licenses/by-sa/3.0	</v>
    </spb>
    <spb s="0">
      <v xml:space="preserve">Wikipedia	</v>
      <v xml:space="preserve">CC-BY-SA	</v>
      <v xml:space="preserve">http://en.wikipedia.org/wiki/Rio_de_Janeiro_(state)	</v>
      <v xml:space="preserve">http://creativecommons.org/licenses/by-sa/3.0/	</v>
    </spb>
    <spb s="1">
      <v>27</v>
      <v>27</v>
      <v>27</v>
      <v>27</v>
      <v>28</v>
      <v>27</v>
      <v>27</v>
      <v>27</v>
      <v>27</v>
    </spb>
    <spb s="0">
      <v xml:space="preserve">Wikipedia	</v>
      <v xml:space="preserve">CC BY-SA 3.0	</v>
      <v xml:space="preserve">https://en.wikipedia.org/wiki/Rio_Grande_do_Sul	</v>
      <v xml:space="preserve">https://creativecommons.org/licenses/by-sa/3.0	</v>
    </spb>
    <spb s="0">
      <v xml:space="preserve">Wikipedia	</v>
      <v xml:space="preserve">CC-BY-SA	</v>
      <v xml:space="preserve">http://en.wikipedia.org/wiki/Rio_Grande_do_Sul	</v>
      <v xml:space="preserve">http://creativecommons.org/licenses/by-sa/3.0/	</v>
    </spb>
    <spb s="1">
      <v>30</v>
      <v>30</v>
      <v>30</v>
      <v>30</v>
      <v>31</v>
      <v>30</v>
      <v>30</v>
      <v>30</v>
      <v>30</v>
    </spb>
    <spb s="0">
      <v xml:space="preserve">Wikipedia	</v>
      <v xml:space="preserve">CC BY-SA 3.0	</v>
      <v xml:space="preserve">https://en.wikipedia.org/wiki/Par%C3%A1	</v>
      <v xml:space="preserve">https://creativecommons.org/licenses/by-sa/3.0	</v>
    </spb>
    <spb s="0">
      <v xml:space="preserve">Wikipedia	</v>
      <v xml:space="preserve">CC-BY-SA	</v>
      <v xml:space="preserve">http://en.wikipedia.org/wiki/Pará	</v>
      <v xml:space="preserve">http://creativecommons.org/licenses/by-sa/3.0/	</v>
    </spb>
    <spb s="1">
      <v>33</v>
      <v>33</v>
      <v>33</v>
      <v>33</v>
      <v>34</v>
      <v>33</v>
      <v>33</v>
      <v>33</v>
      <v>33</v>
    </spb>
    <spb s="0">
      <v xml:space="preserve">Wikipedia	</v>
      <v xml:space="preserve">CC BY-SA 3.0	</v>
      <v xml:space="preserve">https://en.wikipedia.org/wiki/Pernambuco	</v>
      <v xml:space="preserve">https://creativecommons.org/licenses/by-sa/3.0	</v>
    </spb>
    <spb s="0">
      <v xml:space="preserve">Wikipedia	</v>
      <v xml:space="preserve">CC-BY-SA	</v>
      <v xml:space="preserve">http://en.wikipedia.org/wiki/Pernambuco	</v>
      <v xml:space="preserve">http://creativecommons.org/licenses/by-sa/3.0/	</v>
    </spb>
    <spb s="1">
      <v>36</v>
      <v>36</v>
      <v>36</v>
      <v>36</v>
      <v>37</v>
      <v>36</v>
      <v>36</v>
      <v>36</v>
      <v>36</v>
    </spb>
  </spbData>
</supportingPropertyBags>
</file>

<file path=xl/richData/rdsupportingpropertybagstructure.xml><?xml version="1.0" encoding="utf-8"?>
<spbStructures xmlns="http://schemas.microsoft.com/office/spreadsheetml/2017/richdata2" count="10">
  <s>
    <k n="SourceText" t="s"/>
    <k n="LicenseText" t="s"/>
    <k n="SourceAddress" t="s"/>
    <k n="LicenseAddress" t="s"/>
  </s>
  <s>
    <k n="Nome" t="spb"/>
    <k n="`Área" t="spb"/>
    <k n="Descrição" t="spb"/>
    <k n="População" t="spb"/>
    <k n="Abreviação" t="spb"/>
    <k n="UniqueName" t="spb"/>
    <k n="País/região" t="spb"/>
    <k n="Maior cidade" t="spb"/>
    <k n="Capital/Maior Cidade" t="spb"/>
  </s>
  <s>
    <k n="Nome" t="s"/>
    <k n="Área" t="s"/>
    <k n="Imagem" t="s"/>
    <k n="Descrição" t="s"/>
    <k n="População" t="s"/>
    <k n="Abreviação" t="s"/>
    <k n="UniqueName" t="s"/>
    <k n="VDPID/VSID" t="s"/>
    <k n="País/região" t="s"/>
    <k n="Maior cidade" t="s"/>
    <k n="LearnMoreOnLink" t="s"/>
    <k n="Capital/Maior Cidade" t="s"/>
  </s>
  <s>
    <k n="^Order" t="spba"/>
    <k n="TitleProperty" t="s"/>
    <k n="SubTitleProperty" t="s"/>
  </s>
  <s>
    <k n="ShowInCardView" t="b"/>
    <k n="ShowInDotNotation" t="b"/>
    <k n="ShowInAutoComplete" t="b"/>
  </s>
  <s>
    <k n="UniqueName" t="spb"/>
    <k n="VDPID/VSID" t="spb"/>
    <k n="LearnMoreOnLink" t="spb"/>
  </s>
  <s>
    <k n="Nome" t="i"/>
    <k n="Imagem" t="i"/>
  </s>
  <s>
    <k n="link" t="s"/>
    <k n="logo" t="s"/>
    <k n="name" t="s"/>
  </s>
  <s>
    <k n="`Área" t="s"/>
    <k n="População" t="s"/>
  </s>
  <s>
    <k n="_Self"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TitleField" t="b"/>
    <rPr n="IsHeroField" t="b"/>
    <rPr n="NumberFormat" t="s"/>
  </richProperties>
  <richStyles>
    <rSty>
      <rpv i="0">1</rpv>
    </rSty>
    <rSty>
      <rpv i="1">1</rpv>
    </rSty>
    <rSty dxfid="0">
      <rpv i="2">#,##0</rpv>
    </rSty>
  </richStyles>
</richStyleSheet>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D377-9343-4997-9760-705C385694F2}">
  <dimension ref="A1:O33"/>
  <sheetViews>
    <sheetView showGridLines="0" zoomScale="90" zoomScaleNormal="90" workbookViewId="0">
      <selection activeCell="Q4" sqref="Q4"/>
    </sheetView>
  </sheetViews>
  <sheetFormatPr defaultColWidth="9.140625" defaultRowHeight="15"/>
  <cols>
    <col min="1" max="1" width="1.7109375" customWidth="1"/>
    <col min="2" max="14" width="9.140625" style="1"/>
    <col min="15" max="15" width="16.140625" style="1" customWidth="1"/>
    <col min="16" max="16384" width="9.140625" style="1"/>
  </cols>
  <sheetData>
    <row r="1" spans="1:15" ht="15.75">
      <c r="A1" s="4"/>
      <c r="B1" s="10"/>
    </row>
    <row r="2" spans="1:15" ht="15.75">
      <c r="A2" s="4"/>
      <c r="B2" s="10"/>
    </row>
    <row r="3" spans="1:15" ht="15.75">
      <c r="A3" s="4"/>
      <c r="B3" s="10"/>
    </row>
    <row r="4" spans="1:15" ht="15.75">
      <c r="A4" s="4"/>
      <c r="B4" s="10"/>
    </row>
    <row r="5" spans="1:15" ht="20.25">
      <c r="A5" s="4"/>
      <c r="B5" s="11" t="s">
        <v>19</v>
      </c>
    </row>
    <row r="6" spans="1:15" ht="15.75">
      <c r="A6" s="4"/>
      <c r="B6" s="10"/>
    </row>
    <row r="7" spans="1:15" ht="18">
      <c r="A7" s="4"/>
      <c r="B7" s="7" t="s">
        <v>18</v>
      </c>
    </row>
    <row r="8" spans="1:15" ht="6.95" customHeight="1">
      <c r="A8" s="4"/>
      <c r="B8" s="7"/>
    </row>
    <row r="9" spans="1:15" s="8" customFormat="1" ht="40.5" customHeight="1">
      <c r="A9" s="9"/>
      <c r="B9" s="76" t="s">
        <v>157</v>
      </c>
      <c r="C9" s="76"/>
      <c r="D9" s="76"/>
      <c r="E9" s="76"/>
      <c r="F9" s="76"/>
      <c r="G9" s="76"/>
      <c r="H9" s="76"/>
      <c r="I9" s="76"/>
      <c r="J9" s="76"/>
      <c r="K9" s="76"/>
      <c r="L9" s="76"/>
      <c r="M9" s="76"/>
      <c r="N9" s="76"/>
      <c r="O9" s="76"/>
    </row>
    <row r="10" spans="1:15" ht="12" customHeight="1">
      <c r="A10" s="4"/>
      <c r="B10" s="7"/>
    </row>
    <row r="11" spans="1:15" ht="21.75" customHeight="1">
      <c r="B11" s="7" t="s">
        <v>17</v>
      </c>
    </row>
    <row r="12" spans="1:15" ht="6.95" customHeight="1">
      <c r="A12" s="4"/>
      <c r="B12" s="7"/>
    </row>
    <row r="13" spans="1:15" ht="83.25" customHeight="1">
      <c r="B13" s="76" t="s">
        <v>16</v>
      </c>
      <c r="C13" s="76"/>
      <c r="D13" s="76"/>
      <c r="E13" s="76"/>
      <c r="F13" s="76"/>
      <c r="G13" s="76"/>
      <c r="H13" s="76"/>
      <c r="I13" s="76"/>
      <c r="J13" s="76"/>
      <c r="K13" s="76"/>
      <c r="L13" s="76"/>
      <c r="M13" s="76"/>
      <c r="N13" s="76"/>
      <c r="O13" s="76"/>
    </row>
    <row r="14" spans="1:15" ht="12" customHeight="1">
      <c r="A14" s="4"/>
      <c r="B14" s="7"/>
    </row>
    <row r="15" spans="1:15" ht="18">
      <c r="B15" s="7" t="s">
        <v>15</v>
      </c>
    </row>
    <row r="16" spans="1:15" ht="12" customHeight="1">
      <c r="A16" s="4"/>
      <c r="B16" s="7"/>
    </row>
    <row r="17" spans="1:15" ht="15.75">
      <c r="B17" s="3" t="s">
        <v>14</v>
      </c>
      <c r="E17" s="2" t="s">
        <v>13</v>
      </c>
    </row>
    <row r="18" spans="1:15" ht="12" customHeight="1">
      <c r="A18" s="4"/>
      <c r="B18" s="7"/>
    </row>
    <row r="19" spans="1:15" ht="15.75">
      <c r="B19" s="3" t="s">
        <v>12</v>
      </c>
      <c r="E19" s="2" t="s">
        <v>158</v>
      </c>
    </row>
    <row r="20" spans="1:15" ht="12" customHeight="1">
      <c r="A20" s="4"/>
      <c r="B20" s="7"/>
    </row>
    <row r="21" spans="1:15" ht="15.75">
      <c r="B21" s="3" t="s">
        <v>11</v>
      </c>
      <c r="E21" s="2" t="s">
        <v>159</v>
      </c>
    </row>
    <row r="22" spans="1:15" ht="12" customHeight="1">
      <c r="A22" s="4"/>
      <c r="B22" s="7"/>
    </row>
    <row r="23" spans="1:15" ht="28.5" customHeight="1">
      <c r="B23" s="6" t="s">
        <v>10</v>
      </c>
      <c r="C23" s="5"/>
      <c r="E23" s="76" t="s">
        <v>160</v>
      </c>
      <c r="F23" s="76"/>
      <c r="G23" s="76"/>
      <c r="H23" s="76"/>
      <c r="I23" s="76"/>
      <c r="J23" s="76"/>
      <c r="K23" s="76"/>
      <c r="L23" s="76"/>
      <c r="M23" s="76"/>
      <c r="N23" s="76"/>
      <c r="O23" s="76"/>
    </row>
    <row r="24" spans="1:15" ht="12" customHeight="1">
      <c r="A24" s="4"/>
      <c r="B24" s="7"/>
    </row>
    <row r="25" spans="1:15" ht="15.75">
      <c r="B25" s="3" t="s">
        <v>9</v>
      </c>
      <c r="E25" s="2" t="s">
        <v>8</v>
      </c>
    </row>
    <row r="26" spans="1:15" ht="12" customHeight="1">
      <c r="A26" s="4"/>
      <c r="B26" s="7"/>
    </row>
    <row r="27" spans="1:15" ht="15.75">
      <c r="B27" s="3" t="s">
        <v>7</v>
      </c>
      <c r="E27" s="2" t="s">
        <v>6</v>
      </c>
    </row>
    <row r="28" spans="1:15" ht="12" customHeight="1">
      <c r="A28" s="4"/>
      <c r="B28" s="7"/>
    </row>
    <row r="29" spans="1:15" ht="15.75">
      <c r="B29" s="3" t="s">
        <v>5</v>
      </c>
      <c r="E29" s="2" t="s">
        <v>4</v>
      </c>
    </row>
    <row r="30" spans="1:15" ht="12" customHeight="1">
      <c r="A30" s="4"/>
      <c r="B30" s="7"/>
    </row>
    <row r="31" spans="1:15" ht="15.75">
      <c r="A31" s="4"/>
      <c r="B31" s="3" t="s">
        <v>3</v>
      </c>
      <c r="E31" s="2" t="s">
        <v>2</v>
      </c>
    </row>
    <row r="32" spans="1:15" ht="12" customHeight="1">
      <c r="A32" s="4"/>
      <c r="B32" s="7"/>
    </row>
    <row r="33" spans="1:5" ht="15.75">
      <c r="A33" s="4"/>
      <c r="B33" s="3" t="s">
        <v>1</v>
      </c>
      <c r="E33" s="2" t="s">
        <v>0</v>
      </c>
    </row>
  </sheetData>
  <mergeCells count="3">
    <mergeCell ref="B9:O9"/>
    <mergeCell ref="B13:O13"/>
    <mergeCell ref="E23:O23"/>
  </mergeCells>
  <pageMargins left="0.7" right="0.7" top="0.75" bottom="0.75" header="0.3" footer="0.3"/>
  <pageSetup paperSize="9" scale="7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90B82-00D2-49A5-82DE-9EBDDCF2B814}">
  <dimension ref="A1:T166"/>
  <sheetViews>
    <sheetView showGridLines="0" zoomScale="90" zoomScaleNormal="90" workbookViewId="0">
      <selection activeCell="R6" sqref="R6"/>
    </sheetView>
  </sheetViews>
  <sheetFormatPr defaultRowHeight="15"/>
  <cols>
    <col min="1" max="1" width="1.7109375" customWidth="1"/>
    <col min="2" max="2" width="8.7109375" customWidth="1"/>
    <col min="3" max="3" width="10.7109375" customWidth="1"/>
    <col min="4" max="4" width="11.28515625" customWidth="1"/>
    <col min="5" max="6" width="17.7109375" customWidth="1"/>
    <col min="7" max="10" width="10.7109375" customWidth="1"/>
    <col min="11" max="11" width="16.7109375" customWidth="1"/>
    <col min="12" max="16" width="11.28515625" customWidth="1"/>
    <col min="17" max="17" width="13.5703125" customWidth="1"/>
    <col min="18" max="18" width="85.28515625" customWidth="1"/>
    <col min="19" max="19" width="30.7109375" customWidth="1"/>
  </cols>
  <sheetData>
    <row r="1" spans="1:19" s="1" customFormat="1" ht="15.75">
      <c r="A1" s="4"/>
      <c r="B1" s="10"/>
    </row>
    <row r="2" spans="1:19" s="1" customFormat="1" ht="15.75">
      <c r="A2" s="4"/>
      <c r="B2" s="10"/>
    </row>
    <row r="3" spans="1:19" s="1" customFormat="1" ht="15.75">
      <c r="A3" s="4"/>
      <c r="B3" s="10"/>
    </row>
    <row r="4" spans="1:19" s="1" customFormat="1" ht="15.75">
      <c r="A4" s="4"/>
      <c r="B4" s="10"/>
    </row>
    <row r="5" spans="1:19" s="1" customFormat="1" ht="20.25">
      <c r="A5" s="4"/>
      <c r="B5" s="11" t="s">
        <v>19</v>
      </c>
    </row>
    <row r="6" spans="1:19" s="1" customFormat="1" ht="15.75">
      <c r="A6" s="4"/>
      <c r="B6" s="10"/>
    </row>
    <row r="7" spans="1:19" s="1" customFormat="1" ht="18">
      <c r="A7" s="4"/>
      <c r="B7" s="7" t="s">
        <v>161</v>
      </c>
    </row>
    <row r="8" spans="1:19" s="1" customFormat="1" ht="6.95" customHeight="1">
      <c r="A8" s="4"/>
      <c r="B8" s="7"/>
    </row>
    <row r="9" spans="1:19" ht="24.95" customHeight="1">
      <c r="A9" s="4"/>
      <c r="B9" s="23"/>
      <c r="C9" s="23" t="s">
        <v>136</v>
      </c>
      <c r="D9" s="23" t="s">
        <v>135</v>
      </c>
      <c r="E9" s="23" t="s">
        <v>86</v>
      </c>
      <c r="F9" s="23" t="s">
        <v>134</v>
      </c>
      <c r="G9" s="23" t="s">
        <v>133</v>
      </c>
      <c r="H9" s="23" t="s">
        <v>132</v>
      </c>
      <c r="I9" s="23" t="s">
        <v>131</v>
      </c>
      <c r="J9" s="23" t="s">
        <v>130</v>
      </c>
      <c r="K9" s="24" t="s">
        <v>129</v>
      </c>
      <c r="L9" s="23" t="s">
        <v>128</v>
      </c>
      <c r="M9" s="23" t="s">
        <v>127</v>
      </c>
      <c r="N9" s="23" t="s">
        <v>51</v>
      </c>
      <c r="O9" s="23" t="s">
        <v>47</v>
      </c>
      <c r="P9" s="23" t="s">
        <v>126</v>
      </c>
      <c r="Q9" s="23" t="s">
        <v>52</v>
      </c>
      <c r="R9" s="23" t="s">
        <v>163</v>
      </c>
      <c r="S9" s="23" t="s">
        <v>164</v>
      </c>
    </row>
    <row r="10" spans="1:19" ht="39.950000000000003" customHeight="1">
      <c r="A10" s="9"/>
      <c r="B10" s="25">
        <v>1</v>
      </c>
      <c r="C10" s="25" t="s">
        <v>95</v>
      </c>
      <c r="D10" s="51" t="s">
        <v>78</v>
      </c>
      <c r="E10" s="51" t="s">
        <v>124</v>
      </c>
      <c r="F10" s="51" t="s">
        <v>39</v>
      </c>
      <c r="G10" s="51" t="s">
        <v>93</v>
      </c>
      <c r="H10" s="51" t="s">
        <v>88</v>
      </c>
      <c r="I10" s="52">
        <v>9.1399999999999995E-2</v>
      </c>
      <c r="J10" s="52">
        <v>8.9800000000000005E-2</v>
      </c>
      <c r="K10" s="53">
        <v>7910019.1134000001</v>
      </c>
      <c r="L10" s="52">
        <v>7.6999999999999999E-2</v>
      </c>
      <c r="M10" s="56">
        <v>8.2913646457808909E-2</v>
      </c>
      <c r="N10" s="57">
        <v>3.5425036154117193</v>
      </c>
      <c r="O10" s="61">
        <v>0.44573643410852715</v>
      </c>
      <c r="P10" s="61" t="s">
        <v>29</v>
      </c>
      <c r="Q10" s="64">
        <v>48837</v>
      </c>
      <c r="R10" s="61" t="s">
        <v>169</v>
      </c>
      <c r="S10" s="61" t="s">
        <v>170</v>
      </c>
    </row>
    <row r="11" spans="1:19" ht="39.950000000000003" customHeight="1">
      <c r="A11" s="4"/>
      <c r="B11" s="26">
        <v>2</v>
      </c>
      <c r="C11" s="26" t="s">
        <v>95</v>
      </c>
      <c r="D11" s="54" t="s">
        <v>80</v>
      </c>
      <c r="E11" s="54" t="s">
        <v>98</v>
      </c>
      <c r="F11" s="54" t="s">
        <v>39</v>
      </c>
      <c r="G11" s="54" t="s">
        <v>93</v>
      </c>
      <c r="H11" s="54" t="s">
        <v>88</v>
      </c>
      <c r="I11" s="55">
        <v>9.8500000000000004E-2</v>
      </c>
      <c r="J11" s="55">
        <v>0.1166</v>
      </c>
      <c r="K11" s="53">
        <v>7413478.1481999997</v>
      </c>
      <c r="L11" s="55">
        <v>7.1999999999999995E-2</v>
      </c>
      <c r="M11" s="56">
        <v>7.8166095309323072E-2</v>
      </c>
      <c r="N11" s="57">
        <v>3.3224897693847146</v>
      </c>
      <c r="O11" s="61">
        <v>0.43</v>
      </c>
      <c r="P11" s="61" t="s">
        <v>34</v>
      </c>
      <c r="Q11" s="64">
        <v>48745</v>
      </c>
      <c r="R11" s="61" t="s">
        <v>165</v>
      </c>
      <c r="S11" s="61" t="s">
        <v>166</v>
      </c>
    </row>
    <row r="12" spans="1:19" ht="39.950000000000003" customHeight="1">
      <c r="B12" s="26">
        <v>3</v>
      </c>
      <c r="C12" s="26" t="s">
        <v>95</v>
      </c>
      <c r="D12" s="54" t="s">
        <v>79</v>
      </c>
      <c r="E12" s="54" t="s">
        <v>125</v>
      </c>
      <c r="F12" s="54" t="s">
        <v>44</v>
      </c>
      <c r="G12" s="54" t="s">
        <v>115</v>
      </c>
      <c r="H12" s="54" t="s">
        <v>88</v>
      </c>
      <c r="I12" s="55">
        <v>8.2500000000000004E-2</v>
      </c>
      <c r="J12" s="55">
        <v>9.8299999999999998E-2</v>
      </c>
      <c r="K12" s="53">
        <v>7105268.6200000001</v>
      </c>
      <c r="L12" s="55">
        <v>7.0000000000000007E-2</v>
      </c>
      <c r="M12" s="56">
        <v>7.5223802990349295E-2</v>
      </c>
      <c r="N12" s="57">
        <v>3.0556344451577631</v>
      </c>
      <c r="O12" s="61">
        <v>0.56999999999999995</v>
      </c>
      <c r="P12" s="61" t="s">
        <v>37</v>
      </c>
      <c r="Q12" s="64">
        <v>48466</v>
      </c>
      <c r="R12" s="61" t="s">
        <v>167</v>
      </c>
      <c r="S12" s="61" t="s">
        <v>168</v>
      </c>
    </row>
    <row r="13" spans="1:19" ht="39.950000000000003" customHeight="1">
      <c r="A13" s="4"/>
      <c r="B13" s="26">
        <v>4</v>
      </c>
      <c r="C13" s="26" t="s">
        <v>95</v>
      </c>
      <c r="D13" s="54" t="s">
        <v>77</v>
      </c>
      <c r="E13" s="54" t="s">
        <v>123</v>
      </c>
      <c r="F13" s="54" t="s">
        <v>36</v>
      </c>
      <c r="G13" s="54" t="s">
        <v>96</v>
      </c>
      <c r="H13" s="54" t="s">
        <v>88</v>
      </c>
      <c r="I13" s="55">
        <v>9.5399999999999999E-2</v>
      </c>
      <c r="J13" s="55">
        <v>8.4099999999999994E-2</v>
      </c>
      <c r="K13" s="53">
        <v>6644003.4358999999</v>
      </c>
      <c r="L13" s="55">
        <v>6.4000000000000001E-2</v>
      </c>
      <c r="M13" s="56">
        <v>6.8954505618147921E-2</v>
      </c>
      <c r="N13" s="57">
        <v>3.2103928552842746</v>
      </c>
      <c r="O13" s="61" t="s">
        <v>42</v>
      </c>
      <c r="P13" s="61" t="s">
        <v>28</v>
      </c>
      <c r="Q13" s="64">
        <v>48788</v>
      </c>
      <c r="R13" s="61" t="s">
        <v>171</v>
      </c>
      <c r="S13" s="61" t="s">
        <v>172</v>
      </c>
    </row>
    <row r="14" spans="1:19" ht="39.950000000000003" customHeight="1">
      <c r="B14" s="26">
        <v>5</v>
      </c>
      <c r="C14" s="26" t="s">
        <v>95</v>
      </c>
      <c r="D14" s="54" t="s">
        <v>76</v>
      </c>
      <c r="E14" s="54" t="s">
        <v>94</v>
      </c>
      <c r="F14" s="54" t="s">
        <v>44</v>
      </c>
      <c r="G14" s="54" t="s">
        <v>93</v>
      </c>
      <c r="H14" s="54" t="s">
        <v>88</v>
      </c>
      <c r="I14" s="55">
        <v>7.4999999999999997E-2</v>
      </c>
      <c r="J14" s="55">
        <v>9.1600000000000001E-2</v>
      </c>
      <c r="K14" s="53">
        <v>4863860.7856999999</v>
      </c>
      <c r="L14" s="55">
        <v>4.8000000000000001E-2</v>
      </c>
      <c r="M14" s="56">
        <v>5.1589129562775567E-2</v>
      </c>
      <c r="N14" s="57">
        <v>3.2476955646464827</v>
      </c>
      <c r="O14" s="61">
        <v>0.27</v>
      </c>
      <c r="P14" s="61" t="s">
        <v>46</v>
      </c>
      <c r="Q14" s="64">
        <v>48197</v>
      </c>
      <c r="R14" s="61" t="s">
        <v>173</v>
      </c>
      <c r="S14" s="61" t="s">
        <v>168</v>
      </c>
    </row>
    <row r="15" spans="1:19" ht="39.950000000000003" customHeight="1">
      <c r="A15" s="4"/>
      <c r="B15" s="26">
        <v>6</v>
      </c>
      <c r="C15" s="26" t="s">
        <v>95</v>
      </c>
      <c r="D15" s="54" t="s">
        <v>75</v>
      </c>
      <c r="E15" s="54" t="s">
        <v>97</v>
      </c>
      <c r="F15" s="54" t="s">
        <v>36</v>
      </c>
      <c r="G15" s="54" t="s">
        <v>96</v>
      </c>
      <c r="H15" s="54" t="s">
        <v>88</v>
      </c>
      <c r="I15" s="55">
        <v>0.1085</v>
      </c>
      <c r="J15" s="55">
        <v>0.1182</v>
      </c>
      <c r="K15" s="53">
        <v>4620371.7054000003</v>
      </c>
      <c r="L15" s="55">
        <v>4.4999999999999998E-2</v>
      </c>
      <c r="M15" s="56">
        <v>4.8794783785018461E-2</v>
      </c>
      <c r="N15" s="57">
        <v>2.6420941635329438</v>
      </c>
      <c r="O15" s="61" t="s">
        <v>42</v>
      </c>
      <c r="P15" s="61" t="s">
        <v>37</v>
      </c>
      <c r="Q15" s="64">
        <v>48606</v>
      </c>
      <c r="R15" s="61" t="s">
        <v>174</v>
      </c>
      <c r="S15" s="61" t="s">
        <v>166</v>
      </c>
    </row>
    <row r="16" spans="1:19" ht="39.950000000000003" customHeight="1">
      <c r="B16" s="26">
        <v>7</v>
      </c>
      <c r="C16" s="26" t="s">
        <v>95</v>
      </c>
      <c r="D16" s="54" t="s">
        <v>74</v>
      </c>
      <c r="E16" s="54" t="s">
        <v>122</v>
      </c>
      <c r="F16" s="54" t="s">
        <v>27</v>
      </c>
      <c r="G16" s="54" t="s">
        <v>102</v>
      </c>
      <c r="H16" s="54" t="s">
        <v>88</v>
      </c>
      <c r="I16" s="55">
        <v>7.6799999999999993E-2</v>
      </c>
      <c r="J16" s="55">
        <v>5.0299999999999997E-2</v>
      </c>
      <c r="K16" s="53">
        <v>4126118.6990999999</v>
      </c>
      <c r="L16" s="55">
        <v>0.04</v>
      </c>
      <c r="M16" s="56">
        <v>4.3316854719160219E-2</v>
      </c>
      <c r="N16" s="57">
        <v>3.3421649503760129</v>
      </c>
      <c r="O16" s="61">
        <v>0.5</v>
      </c>
      <c r="P16" s="61" t="s">
        <v>37</v>
      </c>
      <c r="Q16" s="64">
        <v>48075</v>
      </c>
      <c r="R16" s="61" t="s">
        <v>175</v>
      </c>
      <c r="S16" s="61" t="s">
        <v>176</v>
      </c>
    </row>
    <row r="17" spans="1:19" ht="39.950000000000003" customHeight="1">
      <c r="A17" s="4"/>
      <c r="B17" s="26">
        <v>8</v>
      </c>
      <c r="C17" s="26" t="s">
        <v>95</v>
      </c>
      <c r="D17" s="54" t="s">
        <v>73</v>
      </c>
      <c r="E17" s="54" t="s">
        <v>121</v>
      </c>
      <c r="F17" s="54" t="s">
        <v>44</v>
      </c>
      <c r="G17" s="54" t="s">
        <v>102</v>
      </c>
      <c r="H17" s="54" t="s">
        <v>88</v>
      </c>
      <c r="I17" s="55">
        <v>8.6999999999999994E-2</v>
      </c>
      <c r="J17" s="55">
        <v>0.1076</v>
      </c>
      <c r="K17" s="53">
        <v>4099193.3056999999</v>
      </c>
      <c r="L17" s="55">
        <v>0.04</v>
      </c>
      <c r="M17" s="56">
        <v>4.2749490047695134E-2</v>
      </c>
      <c r="N17" s="57">
        <v>6.1755441765245216</v>
      </c>
      <c r="O17" s="61">
        <v>0.38</v>
      </c>
      <c r="P17" s="61" t="s">
        <v>46</v>
      </c>
      <c r="Q17" s="64">
        <v>50789</v>
      </c>
      <c r="R17" s="61" t="s">
        <v>177</v>
      </c>
      <c r="S17" s="61" t="s">
        <v>178</v>
      </c>
    </row>
    <row r="18" spans="1:19" ht="39.950000000000003" customHeight="1">
      <c r="B18" s="26">
        <v>9</v>
      </c>
      <c r="C18" s="26" t="s">
        <v>95</v>
      </c>
      <c r="D18" s="54" t="s">
        <v>205</v>
      </c>
      <c r="E18" s="54" t="s">
        <v>206</v>
      </c>
      <c r="F18" s="54" t="s">
        <v>33</v>
      </c>
      <c r="G18" s="54" t="s">
        <v>93</v>
      </c>
      <c r="H18" s="54" t="s">
        <v>88</v>
      </c>
      <c r="I18" s="55">
        <v>0.105</v>
      </c>
      <c r="J18" s="55">
        <v>0.14169999999999999</v>
      </c>
      <c r="K18" s="53">
        <v>4005031.6885000002</v>
      </c>
      <c r="L18" s="55">
        <v>3.7999999999999999E-2</v>
      </c>
      <c r="M18" s="56">
        <v>4.1317237768606727E-2</v>
      </c>
      <c r="N18" s="57">
        <v>1.821743599086461</v>
      </c>
      <c r="O18" s="61">
        <v>0.47</v>
      </c>
      <c r="P18" s="61" t="s">
        <v>37</v>
      </c>
      <c r="Q18" s="64">
        <v>46384</v>
      </c>
      <c r="R18" s="61" t="s">
        <v>208</v>
      </c>
      <c r="S18" s="61" t="s">
        <v>166</v>
      </c>
    </row>
    <row r="19" spans="1:19" ht="39.950000000000003" customHeight="1">
      <c r="A19" s="4"/>
      <c r="B19" s="26">
        <v>10</v>
      </c>
      <c r="C19" s="26" t="s">
        <v>95</v>
      </c>
      <c r="D19" s="54" t="s">
        <v>209</v>
      </c>
      <c r="E19" s="54" t="s">
        <v>210</v>
      </c>
      <c r="F19" s="54" t="s">
        <v>33</v>
      </c>
      <c r="G19" s="54" t="s">
        <v>96</v>
      </c>
      <c r="H19" s="54" t="s">
        <v>108</v>
      </c>
      <c r="I19" s="55">
        <v>4.4999999999999998E-2</v>
      </c>
      <c r="J19" s="55">
        <v>4.4699999999999997E-2</v>
      </c>
      <c r="K19" s="53">
        <v>2964800.1762999999</v>
      </c>
      <c r="L19" s="55">
        <v>0.03</v>
      </c>
      <c r="M19" s="56">
        <v>3.2029482532289863E-2</v>
      </c>
      <c r="N19" s="57">
        <v>1.8520218868183049</v>
      </c>
      <c r="O19" s="61">
        <v>0.47</v>
      </c>
      <c r="P19" s="61" t="s">
        <v>20</v>
      </c>
      <c r="Q19" s="64">
        <v>47085</v>
      </c>
      <c r="R19" s="61" t="s">
        <v>211</v>
      </c>
      <c r="S19" s="61" t="s">
        <v>166</v>
      </c>
    </row>
    <row r="20" spans="1:19" ht="39.950000000000003" customHeight="1">
      <c r="B20" s="26">
        <v>11</v>
      </c>
      <c r="C20" s="26" t="s">
        <v>95</v>
      </c>
      <c r="D20" s="54" t="s">
        <v>69</v>
      </c>
      <c r="E20" s="54" t="s">
        <v>117</v>
      </c>
      <c r="F20" s="54" t="s">
        <v>33</v>
      </c>
      <c r="G20" s="54" t="s">
        <v>110</v>
      </c>
      <c r="H20" s="54" t="s">
        <v>88</v>
      </c>
      <c r="I20" s="55">
        <v>0.10340000000000001</v>
      </c>
      <c r="J20" s="55">
        <v>0.12559999999999999</v>
      </c>
      <c r="K20" s="53">
        <v>3042172.4915</v>
      </c>
      <c r="L20" s="55">
        <v>2.9000000000000001E-2</v>
      </c>
      <c r="M20" s="56">
        <v>3.1587458014796073E-2</v>
      </c>
      <c r="N20" s="57">
        <v>2.545934696460975</v>
      </c>
      <c r="O20" s="61">
        <v>0.71</v>
      </c>
      <c r="P20" s="61" t="s">
        <v>46</v>
      </c>
      <c r="Q20" s="64">
        <v>46619</v>
      </c>
      <c r="R20" s="61" t="s">
        <v>182</v>
      </c>
      <c r="S20" s="61" t="s">
        <v>166</v>
      </c>
    </row>
    <row r="21" spans="1:19" ht="39.950000000000003" customHeight="1">
      <c r="A21" s="4"/>
      <c r="B21" s="26">
        <v>12</v>
      </c>
      <c r="C21" s="26" t="s">
        <v>95</v>
      </c>
      <c r="D21" s="54" t="s">
        <v>70</v>
      </c>
      <c r="E21" s="54" t="s">
        <v>118</v>
      </c>
      <c r="F21" s="54" t="s">
        <v>36</v>
      </c>
      <c r="G21" s="54" t="s">
        <v>102</v>
      </c>
      <c r="H21" s="54" t="s">
        <v>88</v>
      </c>
      <c r="I21" s="55">
        <v>0.11</v>
      </c>
      <c r="J21" s="55">
        <v>0.1178</v>
      </c>
      <c r="K21" s="53">
        <v>2906842.0872999998</v>
      </c>
      <c r="L21" s="55">
        <v>2.8000000000000001E-2</v>
      </c>
      <c r="M21" s="56">
        <v>3.0708475929691104E-2</v>
      </c>
      <c r="N21" s="57">
        <v>3.4610703265032607</v>
      </c>
      <c r="O21" s="61" t="s">
        <v>42</v>
      </c>
      <c r="P21" s="61" t="s">
        <v>26</v>
      </c>
      <c r="Q21" s="64">
        <v>48542</v>
      </c>
      <c r="R21" s="61" t="s">
        <v>181</v>
      </c>
      <c r="S21" s="61" t="s">
        <v>166</v>
      </c>
    </row>
    <row r="22" spans="1:19" ht="39.950000000000003" customHeight="1">
      <c r="B22" s="26">
        <v>13</v>
      </c>
      <c r="C22" s="26" t="s">
        <v>95</v>
      </c>
      <c r="D22" s="54" t="s">
        <v>213</v>
      </c>
      <c r="E22" s="54" t="s">
        <v>214</v>
      </c>
      <c r="F22" s="54" t="s">
        <v>39</v>
      </c>
      <c r="G22" s="54" t="s">
        <v>96</v>
      </c>
      <c r="H22" s="54" t="s">
        <v>217</v>
      </c>
      <c r="I22" s="55">
        <v>0.18779999999999999</v>
      </c>
      <c r="J22" s="55">
        <v>0.1699</v>
      </c>
      <c r="K22" s="53">
        <v>2553189.8730000001</v>
      </c>
      <c r="L22" s="55">
        <v>2.4E-2</v>
      </c>
      <c r="M22" s="56">
        <v>2.642438598787689E-2</v>
      </c>
      <c r="N22" s="57">
        <v>2.4429928486815999</v>
      </c>
      <c r="O22" s="61">
        <v>0.75</v>
      </c>
      <c r="P22" s="61" t="s">
        <v>29</v>
      </c>
      <c r="Q22" s="64">
        <v>46840</v>
      </c>
      <c r="R22" s="61" t="s">
        <v>223</v>
      </c>
      <c r="S22" s="61" t="s">
        <v>176</v>
      </c>
    </row>
    <row r="23" spans="1:19" ht="39.950000000000003" customHeight="1">
      <c r="A23" s="4"/>
      <c r="B23" s="26">
        <v>14</v>
      </c>
      <c r="C23" s="26" t="s">
        <v>95</v>
      </c>
      <c r="D23" s="54" t="s">
        <v>68</v>
      </c>
      <c r="E23" s="54" t="s">
        <v>116</v>
      </c>
      <c r="F23" s="54" t="s">
        <v>44</v>
      </c>
      <c r="G23" s="54" t="s">
        <v>115</v>
      </c>
      <c r="H23" s="54" t="s">
        <v>88</v>
      </c>
      <c r="I23" s="55">
        <v>5.7000000000000002E-2</v>
      </c>
      <c r="J23" s="55">
        <v>7.4499999999999997E-2</v>
      </c>
      <c r="K23" s="53">
        <v>2499171.0487000002</v>
      </c>
      <c r="L23" s="55">
        <v>2.4E-2</v>
      </c>
      <c r="M23" s="56">
        <v>2.6157874323627678E-2</v>
      </c>
      <c r="N23" s="57">
        <v>7.0789974038874597</v>
      </c>
      <c r="O23" s="61">
        <v>0.60499999999999998</v>
      </c>
      <c r="P23" s="61" t="s">
        <v>23</v>
      </c>
      <c r="Q23" s="64">
        <v>51702</v>
      </c>
      <c r="R23" s="61" t="s">
        <v>184</v>
      </c>
      <c r="S23" s="61" t="s">
        <v>170</v>
      </c>
    </row>
    <row r="24" spans="1:19" ht="39.950000000000003" customHeight="1">
      <c r="B24" s="26">
        <v>15</v>
      </c>
      <c r="C24" s="26" t="s">
        <v>95</v>
      </c>
      <c r="D24" s="54" t="s">
        <v>67</v>
      </c>
      <c r="E24" s="54" t="s">
        <v>114</v>
      </c>
      <c r="F24" s="54" t="s">
        <v>44</v>
      </c>
      <c r="G24" s="54" t="s">
        <v>101</v>
      </c>
      <c r="H24" s="54" t="s">
        <v>88</v>
      </c>
      <c r="I24" s="55">
        <v>5.9700000000000003E-2</v>
      </c>
      <c r="J24" s="55">
        <v>7.9600000000000004E-2</v>
      </c>
      <c r="K24" s="53">
        <v>2461175.6891999999</v>
      </c>
      <c r="L24" s="55">
        <v>2.4E-2</v>
      </c>
      <c r="M24" s="56">
        <v>2.5942399612600822E-2</v>
      </c>
      <c r="N24" s="57">
        <v>5.3549789656149995</v>
      </c>
      <c r="O24" s="61">
        <v>0.76986912663199547</v>
      </c>
      <c r="P24" s="61" t="s">
        <v>22</v>
      </c>
      <c r="Q24" s="64">
        <v>50019</v>
      </c>
      <c r="R24" s="61" t="s">
        <v>185</v>
      </c>
      <c r="S24" s="61" t="s">
        <v>183</v>
      </c>
    </row>
    <row r="25" spans="1:19" ht="39.950000000000003" customHeight="1">
      <c r="A25" s="4"/>
      <c r="B25" s="26">
        <v>16</v>
      </c>
      <c r="C25" s="26" t="s">
        <v>95</v>
      </c>
      <c r="D25" s="54" t="s">
        <v>65</v>
      </c>
      <c r="E25" s="54" t="s">
        <v>112</v>
      </c>
      <c r="F25" s="54" t="s">
        <v>21</v>
      </c>
      <c r="G25" s="54" t="s">
        <v>93</v>
      </c>
      <c r="H25" s="54" t="s">
        <v>88</v>
      </c>
      <c r="I25" s="55">
        <v>7.5399999999999995E-2</v>
      </c>
      <c r="J25" s="55">
        <v>9.4100000000000003E-2</v>
      </c>
      <c r="K25" s="53">
        <v>2401154.5592999998</v>
      </c>
      <c r="L25" s="55">
        <v>2.3E-2</v>
      </c>
      <c r="M25" s="56">
        <v>2.5198841162105703E-2</v>
      </c>
      <c r="N25" s="57">
        <v>6.5048566249991557</v>
      </c>
      <c r="O25" s="61">
        <v>0.71</v>
      </c>
      <c r="P25" s="61" t="s">
        <v>42</v>
      </c>
      <c r="Q25" s="64">
        <v>51454</v>
      </c>
      <c r="R25" s="61" t="s">
        <v>187</v>
      </c>
      <c r="S25" s="61" t="s">
        <v>188</v>
      </c>
    </row>
    <row r="26" spans="1:19" ht="39.950000000000003" customHeight="1">
      <c r="B26" s="26">
        <v>17</v>
      </c>
      <c r="C26" s="26" t="s">
        <v>95</v>
      </c>
      <c r="D26" s="54" t="s">
        <v>215</v>
      </c>
      <c r="E26" s="54" t="s">
        <v>216</v>
      </c>
      <c r="F26" s="54" t="s">
        <v>30</v>
      </c>
      <c r="G26" s="54" t="s">
        <v>102</v>
      </c>
      <c r="H26" s="54" t="s">
        <v>88</v>
      </c>
      <c r="I26" s="55">
        <v>0.1061</v>
      </c>
      <c r="J26" s="55">
        <v>9.8199999999999996E-2</v>
      </c>
      <c r="K26" s="53">
        <v>2088195.3910000001</v>
      </c>
      <c r="L26" s="55">
        <v>2.3E-2</v>
      </c>
      <c r="M26" s="56">
        <v>2.4650872248061513E-2</v>
      </c>
      <c r="N26" s="57">
        <v>4.6189245655323257</v>
      </c>
      <c r="O26" s="61">
        <v>0.66225165562913912</v>
      </c>
      <c r="P26" s="61" t="s">
        <v>42</v>
      </c>
      <c r="Q26" s="64">
        <v>49667</v>
      </c>
      <c r="R26" s="61" t="s">
        <v>224</v>
      </c>
      <c r="S26" s="61" t="s">
        <v>192</v>
      </c>
    </row>
    <row r="27" spans="1:19" ht="39.950000000000003" customHeight="1">
      <c r="A27" s="4"/>
      <c r="B27" s="26">
        <v>18</v>
      </c>
      <c r="C27" s="26" t="s">
        <v>95</v>
      </c>
      <c r="D27" s="54" t="s">
        <v>66</v>
      </c>
      <c r="E27" s="54" t="s">
        <v>113</v>
      </c>
      <c r="F27" s="54" t="s">
        <v>33</v>
      </c>
      <c r="G27" s="54" t="s">
        <v>93</v>
      </c>
      <c r="H27" s="54" t="s">
        <v>108</v>
      </c>
      <c r="I27" s="55">
        <v>6.8000000000000005E-2</v>
      </c>
      <c r="J27" s="55">
        <v>6.8000000000000005E-2</v>
      </c>
      <c r="K27" s="53">
        <v>1798980.2814</v>
      </c>
      <c r="L27" s="55">
        <v>2.3E-2</v>
      </c>
      <c r="M27" s="56">
        <v>2.4550522073521781E-2</v>
      </c>
      <c r="N27" s="57">
        <v>1.3800151497554809</v>
      </c>
      <c r="O27" s="61">
        <v>0.47458892159751703</v>
      </c>
      <c r="P27" s="61" t="s">
        <v>31</v>
      </c>
      <c r="Q27" s="64">
        <v>46225</v>
      </c>
      <c r="R27" s="61" t="s">
        <v>186</v>
      </c>
      <c r="S27" s="61" t="s">
        <v>166</v>
      </c>
    </row>
    <row r="28" spans="1:19" ht="39.950000000000003" customHeight="1">
      <c r="B28" s="26">
        <v>19</v>
      </c>
      <c r="C28" s="26" t="s">
        <v>95</v>
      </c>
      <c r="D28" s="54" t="s">
        <v>71</v>
      </c>
      <c r="E28" s="54" t="s">
        <v>119</v>
      </c>
      <c r="F28" s="54" t="s">
        <v>30</v>
      </c>
      <c r="G28" s="54" t="s">
        <v>93</v>
      </c>
      <c r="H28" s="54" t="s">
        <v>88</v>
      </c>
      <c r="I28" s="55">
        <v>9.5000000000000001E-2</v>
      </c>
      <c r="J28" s="55">
        <v>0.1197</v>
      </c>
      <c r="K28" s="53">
        <v>2042657.2538999999</v>
      </c>
      <c r="L28" s="55">
        <v>2.1999999999999999E-2</v>
      </c>
      <c r="M28" s="56">
        <v>2.389118853757205E-2</v>
      </c>
      <c r="N28" s="57">
        <v>2.4647380581602647</v>
      </c>
      <c r="O28" s="61">
        <v>0.43103448275862066</v>
      </c>
      <c r="P28" s="61" t="s">
        <v>42</v>
      </c>
      <c r="Q28" s="64">
        <v>48689</v>
      </c>
      <c r="R28" s="61" t="s">
        <v>180</v>
      </c>
      <c r="S28" s="61" t="s">
        <v>172</v>
      </c>
    </row>
    <row r="29" spans="1:19" ht="39.950000000000003" customHeight="1">
      <c r="A29" s="4"/>
      <c r="B29" s="26">
        <v>20</v>
      </c>
      <c r="C29" s="26" t="s">
        <v>95</v>
      </c>
      <c r="D29" s="54" t="s">
        <v>72</v>
      </c>
      <c r="E29" s="54" t="s">
        <v>120</v>
      </c>
      <c r="F29" s="54" t="s">
        <v>30</v>
      </c>
      <c r="G29" s="54" t="s">
        <v>99</v>
      </c>
      <c r="H29" s="54" t="s">
        <v>88</v>
      </c>
      <c r="I29" s="55">
        <v>0.12</v>
      </c>
      <c r="J29" s="55">
        <v>0.12089999999999999</v>
      </c>
      <c r="K29" s="53">
        <v>1336790.6142</v>
      </c>
      <c r="L29" s="55">
        <v>2.1999999999999999E-2</v>
      </c>
      <c r="M29" s="56">
        <v>2.3308973675176006E-2</v>
      </c>
      <c r="N29" s="57">
        <v>3.0587388795226396</v>
      </c>
      <c r="O29" s="61">
        <v>0.72013778349874746</v>
      </c>
      <c r="P29" s="61" t="s">
        <v>46</v>
      </c>
      <c r="Q29" s="64">
        <v>48085</v>
      </c>
      <c r="R29" s="61" t="s">
        <v>179</v>
      </c>
      <c r="S29" s="61" t="s">
        <v>166</v>
      </c>
    </row>
    <row r="30" spans="1:19" ht="39.950000000000003" customHeight="1">
      <c r="B30" s="26">
        <v>21</v>
      </c>
      <c r="C30" s="26" t="s">
        <v>95</v>
      </c>
      <c r="D30" s="54" t="s">
        <v>63</v>
      </c>
      <c r="E30" s="54" t="s">
        <v>109</v>
      </c>
      <c r="F30" s="54" t="s">
        <v>30</v>
      </c>
      <c r="G30" s="54" t="s">
        <v>93</v>
      </c>
      <c r="H30" s="54" t="s">
        <v>108</v>
      </c>
      <c r="I30" s="55">
        <v>4.3900000000000002E-2</v>
      </c>
      <c r="J30" s="55">
        <v>3.7499999999999999E-2</v>
      </c>
      <c r="K30" s="53">
        <v>1970534.8278999999</v>
      </c>
      <c r="L30" s="55">
        <v>1.9E-2</v>
      </c>
      <c r="M30" s="56">
        <v>2.0847748110581328E-2</v>
      </c>
      <c r="N30" s="57">
        <v>2.3414923798271201</v>
      </c>
      <c r="O30" s="61">
        <v>0.54207428997788365</v>
      </c>
      <c r="P30" s="61" t="s">
        <v>46</v>
      </c>
      <c r="Q30" s="64">
        <v>47597</v>
      </c>
      <c r="R30" s="61" t="s">
        <v>191</v>
      </c>
      <c r="S30" s="61" t="s">
        <v>192</v>
      </c>
    </row>
    <row r="31" spans="1:19" ht="39.950000000000003" customHeight="1">
      <c r="A31" s="4"/>
      <c r="B31" s="26">
        <v>22</v>
      </c>
      <c r="C31" s="26" t="s">
        <v>95</v>
      </c>
      <c r="D31" s="54" t="s">
        <v>61</v>
      </c>
      <c r="E31" s="54" t="s">
        <v>106</v>
      </c>
      <c r="F31" s="54" t="s">
        <v>39</v>
      </c>
      <c r="G31" s="54" t="s">
        <v>102</v>
      </c>
      <c r="H31" s="54" t="s">
        <v>88</v>
      </c>
      <c r="I31" s="55">
        <v>7.4999999999999997E-2</v>
      </c>
      <c r="J31" s="55">
        <v>0.10299999999999999</v>
      </c>
      <c r="K31" s="53">
        <v>1773667.0512999999</v>
      </c>
      <c r="L31" s="55">
        <v>1.7000000000000001E-2</v>
      </c>
      <c r="M31" s="56">
        <v>1.8772222757711086E-2</v>
      </c>
      <c r="N31" s="57">
        <v>3.6258344905269819</v>
      </c>
      <c r="O31" s="61">
        <v>0.55100000000000005</v>
      </c>
      <c r="P31" s="61" t="s">
        <v>46</v>
      </c>
      <c r="Q31" s="64">
        <v>48534</v>
      </c>
      <c r="R31" s="61" t="s">
        <v>195</v>
      </c>
      <c r="S31" s="61" t="s">
        <v>196</v>
      </c>
    </row>
    <row r="32" spans="1:19" ht="39.950000000000003" customHeight="1">
      <c r="A32" s="4"/>
      <c r="B32" s="26">
        <v>23</v>
      </c>
      <c r="C32" s="26" t="s">
        <v>95</v>
      </c>
      <c r="D32" s="54" t="s">
        <v>62</v>
      </c>
      <c r="E32" s="54" t="s">
        <v>107</v>
      </c>
      <c r="F32" s="54" t="s">
        <v>21</v>
      </c>
      <c r="G32" s="54" t="s">
        <v>102</v>
      </c>
      <c r="H32" s="54" t="s">
        <v>88</v>
      </c>
      <c r="I32" s="55">
        <v>7.3599999999999999E-2</v>
      </c>
      <c r="J32" s="55">
        <v>0.12889999999999999</v>
      </c>
      <c r="K32" s="53">
        <v>1564773.747</v>
      </c>
      <c r="L32" s="55">
        <v>1.6E-2</v>
      </c>
      <c r="M32" s="56">
        <v>1.7324617100480992E-2</v>
      </c>
      <c r="N32" s="57">
        <v>1.3264012000500254</v>
      </c>
      <c r="O32" s="61" t="s">
        <v>42</v>
      </c>
      <c r="P32" s="61" t="s">
        <v>42</v>
      </c>
      <c r="Q32" s="64">
        <v>46615</v>
      </c>
      <c r="R32" s="61" t="s">
        <v>193</v>
      </c>
      <c r="S32" s="61" t="s">
        <v>194</v>
      </c>
    </row>
    <row r="33" spans="1:19" ht="39.950000000000003" customHeight="1">
      <c r="A33" s="4"/>
      <c r="B33" s="26">
        <v>24</v>
      </c>
      <c r="C33" s="26" t="s">
        <v>95</v>
      </c>
      <c r="D33" s="54" t="s">
        <v>60</v>
      </c>
      <c r="E33" s="54" t="s">
        <v>105</v>
      </c>
      <c r="F33" s="54" t="s">
        <v>33</v>
      </c>
      <c r="G33" s="54" t="s">
        <v>99</v>
      </c>
      <c r="H33" s="54" t="s">
        <v>88</v>
      </c>
      <c r="I33" s="55">
        <v>6.5000000000000002E-2</v>
      </c>
      <c r="J33" s="55">
        <v>8.6199999999999999E-2</v>
      </c>
      <c r="K33" s="53">
        <v>1551227.3177</v>
      </c>
      <c r="L33" s="55">
        <v>1.4999999999999999E-2</v>
      </c>
      <c r="M33" s="56">
        <v>1.645983157841736E-2</v>
      </c>
      <c r="N33" s="57">
        <v>3.933666569329235</v>
      </c>
      <c r="O33" s="61">
        <v>0.75</v>
      </c>
      <c r="P33" s="61" t="s">
        <v>46</v>
      </c>
      <c r="Q33" s="64">
        <v>49836</v>
      </c>
      <c r="R33" s="61" t="s">
        <v>197</v>
      </c>
      <c r="S33" s="61" t="s">
        <v>198</v>
      </c>
    </row>
    <row r="34" spans="1:19" ht="45" customHeight="1">
      <c r="A34" s="4"/>
      <c r="B34" s="26">
        <v>25</v>
      </c>
      <c r="C34" s="26" t="s">
        <v>95</v>
      </c>
      <c r="D34" s="54" t="s">
        <v>54</v>
      </c>
      <c r="E34" s="54" t="s">
        <v>94</v>
      </c>
      <c r="F34" s="54" t="s">
        <v>44</v>
      </c>
      <c r="G34" s="54" t="s">
        <v>93</v>
      </c>
      <c r="H34" s="54" t="s">
        <v>88</v>
      </c>
      <c r="I34" s="55">
        <v>7.4999999999999997E-2</v>
      </c>
      <c r="J34" s="55">
        <v>9.1600000000000001E-2</v>
      </c>
      <c r="K34" s="53">
        <v>1325449.8467999999</v>
      </c>
      <c r="L34" s="55">
        <v>1.2999999999999999E-2</v>
      </c>
      <c r="M34" s="56">
        <v>1.4058544618137984E-2</v>
      </c>
      <c r="N34" s="57">
        <v>3.2476955646464827</v>
      </c>
      <c r="O34" s="61">
        <v>0.27</v>
      </c>
      <c r="P34" s="61" t="s">
        <v>46</v>
      </c>
      <c r="Q34" s="64">
        <v>48197</v>
      </c>
      <c r="R34" s="61" t="s">
        <v>173</v>
      </c>
      <c r="S34" s="61" t="s">
        <v>168</v>
      </c>
    </row>
    <row r="35" spans="1:19" ht="39.950000000000003" customHeight="1">
      <c r="B35" s="26">
        <v>26</v>
      </c>
      <c r="C35" s="26" t="s">
        <v>95</v>
      </c>
      <c r="D35" s="54" t="s">
        <v>59</v>
      </c>
      <c r="E35" s="54" t="s">
        <v>104</v>
      </c>
      <c r="F35" s="54" t="s">
        <v>25</v>
      </c>
      <c r="G35" s="54" t="s">
        <v>93</v>
      </c>
      <c r="H35" s="54" t="s">
        <v>88</v>
      </c>
      <c r="I35" s="55">
        <v>6.1600000000000002E-2</v>
      </c>
      <c r="J35" s="55">
        <v>8.6300000000000002E-2</v>
      </c>
      <c r="K35" s="53">
        <v>1139541.5297999999</v>
      </c>
      <c r="L35" s="55">
        <v>1.2999999999999999E-2</v>
      </c>
      <c r="M35" s="56">
        <v>1.4024726460688856E-2</v>
      </c>
      <c r="N35" s="57">
        <v>4.2492525197717663</v>
      </c>
      <c r="O35" s="61">
        <v>0.52580000000000005</v>
      </c>
      <c r="P35" s="61" t="s">
        <v>42</v>
      </c>
      <c r="Q35" s="64">
        <v>49779</v>
      </c>
      <c r="R35" s="61" t="s">
        <v>199</v>
      </c>
      <c r="S35" s="61" t="s">
        <v>200</v>
      </c>
    </row>
    <row r="36" spans="1:19" ht="39.950000000000003" customHeight="1">
      <c r="B36" s="26">
        <v>27</v>
      </c>
      <c r="C36" s="26" t="s">
        <v>95</v>
      </c>
      <c r="D36" s="58" t="s">
        <v>64</v>
      </c>
      <c r="E36" s="54" t="s">
        <v>111</v>
      </c>
      <c r="F36" s="54" t="s">
        <v>44</v>
      </c>
      <c r="G36" s="54" t="s">
        <v>110</v>
      </c>
      <c r="H36" s="54" t="s">
        <v>88</v>
      </c>
      <c r="I36" s="55">
        <v>6.25E-2</v>
      </c>
      <c r="J36" s="55">
        <v>0.1414</v>
      </c>
      <c r="K36" s="53">
        <v>1013425.8646</v>
      </c>
      <c r="L36" s="55">
        <v>1.2E-2</v>
      </c>
      <c r="M36" s="56">
        <v>1.2793209088830608E-2</v>
      </c>
      <c r="N36" s="57">
        <v>0.69964323890705149</v>
      </c>
      <c r="O36" s="61">
        <v>0.46200000000000002</v>
      </c>
      <c r="P36" s="61" t="s">
        <v>46</v>
      </c>
      <c r="Q36" s="64">
        <v>46136</v>
      </c>
      <c r="R36" s="61" t="s">
        <v>189</v>
      </c>
      <c r="S36" s="61" t="s">
        <v>190</v>
      </c>
    </row>
    <row r="37" spans="1:19" ht="39.950000000000003" customHeight="1">
      <c r="B37" s="26">
        <v>28</v>
      </c>
      <c r="C37" s="26" t="s">
        <v>95</v>
      </c>
      <c r="D37" s="54" t="s">
        <v>57</v>
      </c>
      <c r="E37" s="54" t="s">
        <v>100</v>
      </c>
      <c r="F37" s="54" t="s">
        <v>33</v>
      </c>
      <c r="G37" s="54" t="s">
        <v>99</v>
      </c>
      <c r="H37" s="54" t="s">
        <v>108</v>
      </c>
      <c r="I37" s="55">
        <v>4.4999999999999998E-2</v>
      </c>
      <c r="J37" s="55">
        <v>3.3799999999999997E-2</v>
      </c>
      <c r="K37" s="53">
        <v>1159826.0473</v>
      </c>
      <c r="L37" s="55">
        <v>1.0999999999999999E-2</v>
      </c>
      <c r="M37" s="56">
        <v>1.2059744290990677E-2</v>
      </c>
      <c r="N37" s="57">
        <v>1.5</v>
      </c>
      <c r="O37" s="61">
        <v>0.82452062911393531</v>
      </c>
      <c r="P37" s="61" t="s">
        <v>37</v>
      </c>
      <c r="Q37" s="64">
        <v>47021</v>
      </c>
      <c r="R37" s="61" t="s">
        <v>202</v>
      </c>
      <c r="S37" s="61" t="s">
        <v>166</v>
      </c>
    </row>
    <row r="38" spans="1:19" ht="39.950000000000003" customHeight="1">
      <c r="B38" s="26">
        <v>29</v>
      </c>
      <c r="C38" s="26" t="s">
        <v>95</v>
      </c>
      <c r="D38" s="54" t="s">
        <v>58</v>
      </c>
      <c r="E38" s="54" t="s">
        <v>103</v>
      </c>
      <c r="F38" s="54" t="s">
        <v>25</v>
      </c>
      <c r="G38" s="54" t="s">
        <v>102</v>
      </c>
      <c r="H38" s="54" t="s">
        <v>88</v>
      </c>
      <c r="I38" s="55">
        <v>7.0000000000000007E-2</v>
      </c>
      <c r="J38" s="55">
        <v>0.1041</v>
      </c>
      <c r="K38" s="53">
        <v>937306.36399999994</v>
      </c>
      <c r="L38" s="55">
        <v>0.01</v>
      </c>
      <c r="M38" s="56">
        <v>1.1289697809844474E-2</v>
      </c>
      <c r="N38" s="57">
        <v>4.4057864506766391</v>
      </c>
      <c r="O38" s="61">
        <v>0.34</v>
      </c>
      <c r="P38" s="61" t="s">
        <v>42</v>
      </c>
      <c r="Q38" s="64">
        <v>49699</v>
      </c>
      <c r="R38" s="61" t="s">
        <v>201</v>
      </c>
      <c r="S38" s="61" t="s">
        <v>200</v>
      </c>
    </row>
    <row r="39" spans="1:19" ht="39.950000000000003" customHeight="1">
      <c r="B39" s="26">
        <v>30</v>
      </c>
      <c r="C39" s="26" t="s">
        <v>95</v>
      </c>
      <c r="D39" s="54" t="s">
        <v>56</v>
      </c>
      <c r="E39" s="54" t="s">
        <v>98</v>
      </c>
      <c r="F39" s="54" t="s">
        <v>33</v>
      </c>
      <c r="G39" s="54" t="s">
        <v>93</v>
      </c>
      <c r="H39" s="54" t="s">
        <v>88</v>
      </c>
      <c r="I39" s="55">
        <v>0.10349999999999999</v>
      </c>
      <c r="J39" s="55">
        <v>0.1207</v>
      </c>
      <c r="K39" s="53">
        <v>923501.48329999996</v>
      </c>
      <c r="L39" s="55">
        <v>8.9999999999999993E-3</v>
      </c>
      <c r="M39" s="56">
        <v>9.7358322920898833E-3</v>
      </c>
      <c r="N39" s="57">
        <v>5.8304421124178392</v>
      </c>
      <c r="O39" s="61">
        <v>0.42</v>
      </c>
      <c r="P39" s="61" t="s">
        <v>34</v>
      </c>
      <c r="Q39" s="64">
        <v>48745</v>
      </c>
      <c r="R39" s="61" t="s">
        <v>165</v>
      </c>
      <c r="S39" s="61" t="s">
        <v>166</v>
      </c>
    </row>
    <row r="40" spans="1:19" ht="39.950000000000003" customHeight="1">
      <c r="B40" s="51">
        <v>31</v>
      </c>
      <c r="C40" s="51" t="s">
        <v>95</v>
      </c>
      <c r="D40" s="51" t="s">
        <v>218</v>
      </c>
      <c r="E40" s="51" t="s">
        <v>219</v>
      </c>
      <c r="F40" s="51" t="s">
        <v>25</v>
      </c>
      <c r="G40" s="51" t="s">
        <v>220</v>
      </c>
      <c r="H40" s="51" t="s">
        <v>88</v>
      </c>
      <c r="I40" s="52">
        <v>5.9400000000000001E-2</v>
      </c>
      <c r="J40" s="52">
        <v>0.1133</v>
      </c>
      <c r="K40" s="53">
        <v>734691.88829999999</v>
      </c>
      <c r="L40" s="52">
        <v>8.0000000000000002E-3</v>
      </c>
      <c r="M40" s="56">
        <v>8.216510340346133E-3</v>
      </c>
      <c r="N40" s="57">
        <v>6.1697949682447222</v>
      </c>
      <c r="O40" s="61">
        <v>0.35580000000000001</v>
      </c>
      <c r="P40" s="57" t="s">
        <v>42</v>
      </c>
      <c r="Q40" s="64">
        <v>51424</v>
      </c>
      <c r="R40" s="61" t="s">
        <v>203</v>
      </c>
      <c r="S40" s="61" t="s">
        <v>200</v>
      </c>
    </row>
    <row r="41" spans="1:19" ht="39.950000000000003" customHeight="1">
      <c r="B41" s="54">
        <v>32</v>
      </c>
      <c r="C41" s="54" t="s">
        <v>95</v>
      </c>
      <c r="D41" s="54" t="s">
        <v>221</v>
      </c>
      <c r="E41" s="54" t="s">
        <v>222</v>
      </c>
      <c r="F41" s="54" t="s">
        <v>33</v>
      </c>
      <c r="G41" s="54" t="s">
        <v>96</v>
      </c>
      <c r="H41" s="54" t="s">
        <v>88</v>
      </c>
      <c r="I41" s="55">
        <v>0.1065</v>
      </c>
      <c r="J41" s="55">
        <v>0.12559999999999999</v>
      </c>
      <c r="K41" s="53">
        <v>676571.13340000005</v>
      </c>
      <c r="L41" s="55">
        <v>7.0000000000000001E-3</v>
      </c>
      <c r="M41" s="56">
        <v>7.1692069121663754E-3</v>
      </c>
      <c r="N41" s="57">
        <v>3.2189919456362066</v>
      </c>
      <c r="O41" s="61">
        <v>0.42</v>
      </c>
      <c r="P41" s="57" t="s">
        <v>31</v>
      </c>
      <c r="Q41" s="64">
        <v>47052</v>
      </c>
      <c r="R41" s="61" t="s">
        <v>204</v>
      </c>
      <c r="S41" s="61" t="s">
        <v>166</v>
      </c>
    </row>
    <row r="42" spans="1:19" ht="39.950000000000003" customHeight="1">
      <c r="B42" s="54">
        <v>33</v>
      </c>
      <c r="C42" s="54" t="s">
        <v>95</v>
      </c>
      <c r="D42" s="54" t="s">
        <v>55</v>
      </c>
      <c r="E42" s="54" t="s">
        <v>97</v>
      </c>
      <c r="F42" s="54" t="s">
        <v>36</v>
      </c>
      <c r="G42" s="54" t="s">
        <v>96</v>
      </c>
      <c r="H42" s="54" t="s">
        <v>88</v>
      </c>
      <c r="I42" s="55">
        <v>0.1086</v>
      </c>
      <c r="J42" s="55">
        <v>6.9500000000000006E-2</v>
      </c>
      <c r="K42" s="53">
        <v>485311.10759999999</v>
      </c>
      <c r="L42" s="55">
        <v>5.0000000000000001E-3</v>
      </c>
      <c r="M42" s="56">
        <v>5.1178107058140387E-3</v>
      </c>
      <c r="N42" s="57">
        <v>3.382111476520381</v>
      </c>
      <c r="O42" s="61" t="s">
        <v>42</v>
      </c>
      <c r="P42" s="57" t="s">
        <v>37</v>
      </c>
      <c r="Q42" s="64">
        <v>48606</v>
      </c>
      <c r="R42" s="61" t="s">
        <v>174</v>
      </c>
      <c r="S42" s="61" t="s">
        <v>166</v>
      </c>
    </row>
    <row r="43" spans="1:19" ht="39.950000000000003" customHeight="1">
      <c r="B43" s="54">
        <v>34</v>
      </c>
      <c r="C43" s="54" t="s">
        <v>95</v>
      </c>
      <c r="D43" s="54" t="s">
        <v>207</v>
      </c>
      <c r="E43" s="54" t="s">
        <v>94</v>
      </c>
      <c r="F43" s="54" t="s">
        <v>44</v>
      </c>
      <c r="G43" s="54" t="s">
        <v>93</v>
      </c>
      <c r="H43" s="54" t="s">
        <v>88</v>
      </c>
      <c r="I43" s="55">
        <v>7.4999999999999997E-2</v>
      </c>
      <c r="J43" s="55">
        <v>9.1499999999999998E-2</v>
      </c>
      <c r="K43" s="53">
        <v>438807.58559999999</v>
      </c>
      <c r="L43" s="55">
        <v>4.0000000000000001E-3</v>
      </c>
      <c r="M43" s="56">
        <v>4.6542775776955104E-3</v>
      </c>
      <c r="N43" s="57">
        <v>3.2476955646464827</v>
      </c>
      <c r="O43" s="61">
        <v>0.27</v>
      </c>
      <c r="P43" s="57" t="s">
        <v>46</v>
      </c>
      <c r="Q43" s="64">
        <v>48197</v>
      </c>
      <c r="R43" s="61" t="s">
        <v>173</v>
      </c>
      <c r="S43" s="61" t="s">
        <v>168</v>
      </c>
    </row>
    <row r="44" spans="1:19" ht="39.950000000000003" customHeight="1">
      <c r="B44" s="54">
        <v>35</v>
      </c>
      <c r="C44" s="54" t="s">
        <v>95</v>
      </c>
      <c r="D44" s="54" t="s">
        <v>225</v>
      </c>
      <c r="E44" s="54" t="s">
        <v>226</v>
      </c>
      <c r="F44" s="54" t="s">
        <v>33</v>
      </c>
      <c r="G44" s="54" t="s">
        <v>96</v>
      </c>
      <c r="H44" s="54" t="s">
        <v>108</v>
      </c>
      <c r="I44" s="55">
        <v>4.8000000000000001E-2</v>
      </c>
      <c r="J44" s="55">
        <v>0.04</v>
      </c>
      <c r="K44" s="53">
        <v>4126163.9027999998</v>
      </c>
      <c r="L44" s="55">
        <v>3.9861089929134667E-2</v>
      </c>
      <c r="M44" s="77">
        <v>4.2668295536936192E-2</v>
      </c>
      <c r="N44" s="78">
        <v>3.2981077137530121</v>
      </c>
      <c r="O44" s="79">
        <v>0.66225165562913912</v>
      </c>
      <c r="P44" s="78" t="s">
        <v>20</v>
      </c>
      <c r="Q44" s="80">
        <v>47689</v>
      </c>
      <c r="R44" s="61" t="s">
        <v>227</v>
      </c>
      <c r="S44" s="61" t="s">
        <v>166</v>
      </c>
    </row>
    <row r="45" spans="1:19" ht="39.950000000000003" customHeight="1">
      <c r="B45" s="59">
        <v>35</v>
      </c>
      <c r="C45" s="59" t="s">
        <v>92</v>
      </c>
      <c r="D45" s="59" t="s">
        <v>91</v>
      </c>
      <c r="E45" s="59" t="s">
        <v>41</v>
      </c>
      <c r="F45" s="59" t="s">
        <v>42</v>
      </c>
      <c r="G45" s="59" t="s">
        <v>42</v>
      </c>
      <c r="H45" s="59" t="s">
        <v>42</v>
      </c>
      <c r="I45" s="59" t="s">
        <v>42</v>
      </c>
      <c r="J45" s="59" t="s">
        <v>42</v>
      </c>
      <c r="K45" s="81">
        <v>3520000</v>
      </c>
      <c r="L45" s="60">
        <v>3.4000000000000002E-2</v>
      </c>
      <c r="M45" s="59" t="s">
        <v>42</v>
      </c>
      <c r="N45" s="59" t="s">
        <v>42</v>
      </c>
      <c r="O45" s="62" t="s">
        <v>42</v>
      </c>
      <c r="P45" s="62" t="s">
        <v>42</v>
      </c>
      <c r="Q45" s="62" t="s">
        <v>42</v>
      </c>
      <c r="R45" s="62" t="s">
        <v>42</v>
      </c>
      <c r="S45" s="62" t="s">
        <v>42</v>
      </c>
    </row>
    <row r="46" spans="1:19" ht="39.950000000000003" customHeight="1">
      <c r="B46" s="54">
        <v>36</v>
      </c>
      <c r="C46" s="54" t="s">
        <v>90</v>
      </c>
      <c r="D46" s="54" t="s">
        <v>42</v>
      </c>
      <c r="E46" s="54" t="s">
        <v>89</v>
      </c>
      <c r="F46" s="54" t="s">
        <v>42</v>
      </c>
      <c r="G46" s="54" t="s">
        <v>42</v>
      </c>
      <c r="H46" s="54" t="s">
        <v>42</v>
      </c>
      <c r="I46" s="54" t="s">
        <v>42</v>
      </c>
      <c r="J46" s="54" t="s">
        <v>42</v>
      </c>
      <c r="K46" s="53">
        <v>3365757.4403909999</v>
      </c>
      <c r="L46" s="55">
        <v>4.2000000000000003E-2</v>
      </c>
      <c r="M46" s="54" t="s">
        <v>42</v>
      </c>
      <c r="N46" s="54" t="s">
        <v>42</v>
      </c>
      <c r="O46" s="63" t="s">
        <v>42</v>
      </c>
      <c r="P46" s="63" t="s">
        <v>42</v>
      </c>
      <c r="Q46" s="63" t="s">
        <v>42</v>
      </c>
      <c r="R46" s="63" t="s">
        <v>42</v>
      </c>
      <c r="S46" s="63" t="s">
        <v>42</v>
      </c>
    </row>
    <row r="47" spans="1:19" ht="24.95" customHeight="1">
      <c r="B47" s="23"/>
      <c r="C47" s="23"/>
      <c r="D47" s="23"/>
      <c r="E47" s="23"/>
      <c r="F47" s="23"/>
      <c r="G47" s="23"/>
      <c r="H47" s="23"/>
      <c r="I47" s="27"/>
      <c r="J47" s="23"/>
      <c r="K47" s="24">
        <f>SUM(K10:K46)</f>
        <v>103589032.10549098</v>
      </c>
      <c r="L47" s="48">
        <f>SUM(L10:L46)</f>
        <v>1.0408610899291348</v>
      </c>
      <c r="M47" s="28"/>
      <c r="N47" s="42"/>
      <c r="O47" s="29"/>
      <c r="P47" s="28"/>
      <c r="Q47" s="30"/>
      <c r="R47" s="30"/>
      <c r="S47" s="30"/>
    </row>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pans="1:18" s="22" customFormat="1"/>
    <row r="82" spans="1:18" s="22" customFormat="1"/>
    <row r="83" spans="1:18" s="22" customFormat="1"/>
    <row r="84" spans="1:18" s="22" customFormat="1"/>
    <row r="85" spans="1:18" s="22" customFormat="1"/>
    <row r="86" spans="1:18" s="22" customFormat="1"/>
    <row r="87" spans="1:18" s="22" customFormat="1"/>
    <row r="88" spans="1:18" s="22" customFormat="1"/>
    <row r="89" spans="1:18" s="22" customFormat="1"/>
    <row r="90" spans="1:18" s="22" customFormat="1"/>
    <row r="91" spans="1:18" s="47" customFormat="1"/>
    <row r="92" spans="1:18" s="47" customFormat="1"/>
    <row r="93" spans="1:18" s="49" customFormat="1">
      <c r="A93" s="22"/>
      <c r="B93" s="22"/>
      <c r="C93" s="22"/>
      <c r="D93" s="22"/>
      <c r="E93" s="22"/>
      <c r="F93" s="22"/>
      <c r="G93" s="22"/>
      <c r="H93" s="22"/>
      <c r="I93" s="22"/>
      <c r="J93" s="22"/>
      <c r="K93" s="22"/>
      <c r="L93" s="22"/>
      <c r="M93" s="22"/>
      <c r="N93" s="22"/>
      <c r="O93" s="22"/>
      <c r="P93" s="22"/>
      <c r="Q93" s="22"/>
      <c r="R93" s="22"/>
    </row>
    <row r="94" spans="1:18" s="49" customFormat="1">
      <c r="A94" s="22"/>
      <c r="B94" s="22"/>
      <c r="C94" s="22"/>
      <c r="D94" s="22"/>
      <c r="E94" s="22"/>
      <c r="F94" s="22"/>
      <c r="G94" s="22"/>
      <c r="H94" s="22"/>
      <c r="I94" s="22"/>
      <c r="J94" s="22"/>
      <c r="K94" s="22"/>
      <c r="L94" s="22"/>
      <c r="M94" s="22"/>
      <c r="N94" s="22"/>
      <c r="O94" s="22"/>
      <c r="P94" s="22"/>
      <c r="Q94" s="22"/>
      <c r="R94" s="22"/>
    </row>
    <row r="95" spans="1:18" s="49" customFormat="1">
      <c r="A95" s="22"/>
      <c r="B95" s="22"/>
      <c r="C95" s="22"/>
      <c r="D95" s="22"/>
      <c r="E95" s="22"/>
      <c r="F95" s="22"/>
      <c r="G95" s="22"/>
      <c r="H95" s="22"/>
      <c r="I95" s="22"/>
      <c r="J95" s="22"/>
      <c r="K95" s="22"/>
      <c r="L95" s="22"/>
      <c r="M95" s="22"/>
      <c r="N95" s="22"/>
      <c r="O95" s="22"/>
      <c r="P95" s="22"/>
      <c r="Q95" s="22"/>
      <c r="R95" s="22"/>
    </row>
    <row r="96" spans="1:18" s="49" customFormat="1">
      <c r="A96" s="22"/>
      <c r="B96" s="22"/>
      <c r="C96" s="22"/>
      <c r="D96" s="22"/>
      <c r="E96" s="22"/>
      <c r="F96" s="22"/>
      <c r="G96" s="22"/>
      <c r="H96" s="22"/>
      <c r="I96" s="22"/>
      <c r="J96" s="22"/>
      <c r="K96" s="22"/>
      <c r="L96" s="22"/>
      <c r="M96" s="22"/>
      <c r="N96" s="22"/>
      <c r="O96" s="22"/>
      <c r="P96" s="22"/>
      <c r="Q96" s="22"/>
      <c r="R96" s="22"/>
    </row>
    <row r="97" spans="1:18" s="49" customFormat="1">
      <c r="A97" s="22"/>
      <c r="B97" s="22"/>
      <c r="C97" s="22"/>
      <c r="D97" s="22"/>
      <c r="E97" s="22"/>
      <c r="F97" s="22"/>
      <c r="G97" s="22"/>
      <c r="H97" s="22"/>
      <c r="I97" s="22"/>
      <c r="J97" s="22"/>
      <c r="K97" s="22"/>
      <c r="L97" s="22"/>
      <c r="M97" s="22"/>
      <c r="N97" s="22"/>
      <c r="O97" s="22"/>
      <c r="P97" s="22"/>
      <c r="Q97" s="22"/>
      <c r="R97" s="22"/>
    </row>
    <row r="98" spans="1:18" s="68" customFormat="1" ht="17.25">
      <c r="A98" s="22"/>
      <c r="B98" s="65" t="s">
        <v>87</v>
      </c>
      <c r="C98" s="66" t="s">
        <v>86</v>
      </c>
      <c r="D98" s="66" t="s">
        <v>85</v>
      </c>
      <c r="E98" s="66" t="s">
        <v>84</v>
      </c>
      <c r="F98" s="66" t="s">
        <v>83</v>
      </c>
      <c r="G98" s="66" t="s">
        <v>82</v>
      </c>
      <c r="H98" s="66" t="s">
        <v>50</v>
      </c>
      <c r="I98" s="67" t="s">
        <v>52</v>
      </c>
      <c r="J98" s="67" t="s">
        <v>51</v>
      </c>
      <c r="K98" s="67" t="s">
        <v>81</v>
      </c>
      <c r="L98" s="67" t="s">
        <v>47</v>
      </c>
      <c r="M98" s="67"/>
    </row>
    <row r="99" spans="1:18" s="68" customFormat="1" ht="24">
      <c r="A99" s="22"/>
      <c r="B99" s="69" t="str">
        <f>D10</f>
        <v>23I1816075</v>
      </c>
      <c r="C99" s="69" t="str">
        <f>E10</f>
        <v>Lotus</v>
      </c>
      <c r="D99" s="70">
        <f>SUMIF($D$10:$D$44,B99,$L$10:$L$44)</f>
        <v>7.6999999999999999E-2</v>
      </c>
      <c r="E99" s="70">
        <f>SUMIF($D$10:$D$44,B99,$M$10:$M$44)</f>
        <v>8.2913646457808909E-2</v>
      </c>
      <c r="F99" s="71" t="str">
        <f>VLOOKUP($B99,D10:G44,4,FALSE)</f>
        <v>True</v>
      </c>
      <c r="G99" s="71" t="str">
        <f>VLOOKUP($B99,D10:G44,3,FALSE)</f>
        <v>Corporativo</v>
      </c>
      <c r="H99" s="71" t="str">
        <f>VLOOKUP($B99,$D$10:$P$44,13,FALSE)</f>
        <v>DF</v>
      </c>
      <c r="I99" s="72">
        <f>YEAR(VLOOKUP($B99,$D$10:$Q$44,14,FALSE))</f>
        <v>2033</v>
      </c>
      <c r="J99" s="71">
        <f ca="1">YEAR(VLOOKUP(B99,$D$10:N$44,11,FALSE)*365+TODAY())</f>
        <v>2029</v>
      </c>
      <c r="K99" s="71" t="str">
        <f>LEFT(H10,4)</f>
        <v>IPCA</v>
      </c>
      <c r="L99" s="70">
        <f>SUMIF($D$10:$D$44,B99,$O$10:$O$44)</f>
        <v>0.44573643410852715</v>
      </c>
    </row>
    <row r="100" spans="1:18" s="68" customFormat="1" ht="24">
      <c r="A100" s="22"/>
      <c r="B100" s="69" t="str">
        <f t="shared" ref="B100:C100" si="0">D11</f>
        <v>23G0006601</v>
      </c>
      <c r="C100" s="69" t="str">
        <f t="shared" si="0"/>
        <v>Habitat</v>
      </c>
      <c r="D100" s="70">
        <f t="shared" ref="D100:D133" si="1">SUMIF($D$10:$D$44,B100,$L$10:$L$44)</f>
        <v>7.1999999999999995E-2</v>
      </c>
      <c r="E100" s="70">
        <f t="shared" ref="E100:E133" si="2">SUMIF($D$10:$D$44,B100,$M$10:$M$44)</f>
        <v>7.8166095309323072E-2</v>
      </c>
      <c r="F100" s="71" t="str">
        <f t="shared" ref="F100:F133" si="3">VLOOKUP($B100,D11:G45,4,FALSE)</f>
        <v>True</v>
      </c>
      <c r="G100" s="71" t="str">
        <f t="shared" ref="G100:G133" si="4">VLOOKUP($B100,D11:G45,3,FALSE)</f>
        <v>Corporativo</v>
      </c>
      <c r="H100" s="71" t="str">
        <f t="shared" ref="H100:H133" si="5">VLOOKUP($B100,$D$10:$P$44,13,FALSE)</f>
        <v>GO</v>
      </c>
      <c r="I100" s="72">
        <f t="shared" ref="I100:I133" si="6">YEAR(VLOOKUP($B100,$D$10:$Q$44,14,FALSE))</f>
        <v>2033</v>
      </c>
      <c r="J100" s="71">
        <f ca="1">YEAR(VLOOKUP(B100,$D$10:N$44,11,FALSE)*365+TODAY())</f>
        <v>2028</v>
      </c>
      <c r="K100" s="71" t="str">
        <f t="shared" ref="K100:K133" si="7">LEFT(H11,4)</f>
        <v>IPCA</v>
      </c>
      <c r="L100" s="70">
        <f t="shared" ref="L100:L133" si="8">SUMIF($D$10:$D$44,B100,$O$10:$O$44)</f>
        <v>0.43</v>
      </c>
    </row>
    <row r="101" spans="1:18" s="68" customFormat="1" ht="24">
      <c r="A101" s="22"/>
      <c r="B101" s="69" t="str">
        <f t="shared" ref="B101:C101" si="9">D12</f>
        <v>23I1257019</v>
      </c>
      <c r="C101" s="69" t="str">
        <f t="shared" si="9"/>
        <v>CitLog Varginha</v>
      </c>
      <c r="D101" s="70">
        <f t="shared" si="1"/>
        <v>7.0000000000000007E-2</v>
      </c>
      <c r="E101" s="70">
        <f t="shared" si="2"/>
        <v>7.5223802990349295E-2</v>
      </c>
      <c r="F101" s="71" t="str">
        <f t="shared" si="3"/>
        <v>Habitasec</v>
      </c>
      <c r="G101" s="71" t="str">
        <f t="shared" si="4"/>
        <v>Galpões Logísticos</v>
      </c>
      <c r="H101" s="71" t="str">
        <f t="shared" si="5"/>
        <v>MG</v>
      </c>
      <c r="I101" s="72">
        <f t="shared" si="6"/>
        <v>2032</v>
      </c>
      <c r="J101" s="71">
        <f ca="1">YEAR(VLOOKUP(B101,$D$10:N$44,11,FALSE)*365+TODAY())</f>
        <v>2028</v>
      </c>
      <c r="K101" s="71" t="str">
        <f t="shared" si="7"/>
        <v>IPCA</v>
      </c>
      <c r="L101" s="70">
        <f t="shared" si="8"/>
        <v>0.56999999999999995</v>
      </c>
    </row>
    <row r="102" spans="1:18" s="68" customFormat="1" ht="24">
      <c r="A102" s="22"/>
      <c r="B102" s="69" t="str">
        <f t="shared" ref="B102:C102" si="10">D13</f>
        <v>23H1104566</v>
      </c>
      <c r="C102" s="69" t="str">
        <f t="shared" si="10"/>
        <v>Brasol</v>
      </c>
      <c r="D102" s="70">
        <f t="shared" si="1"/>
        <v>6.4000000000000001E-2</v>
      </c>
      <c r="E102" s="70">
        <f t="shared" si="2"/>
        <v>6.8954505618147921E-2</v>
      </c>
      <c r="F102" s="71" t="str">
        <f t="shared" si="3"/>
        <v>Canal</v>
      </c>
      <c r="G102" s="71" t="str">
        <f t="shared" si="4"/>
        <v>Energia</v>
      </c>
      <c r="H102" s="71" t="str">
        <f t="shared" si="5"/>
        <v>MT</v>
      </c>
      <c r="I102" s="72">
        <f t="shared" si="6"/>
        <v>2033</v>
      </c>
      <c r="J102" s="71">
        <f ca="1">YEAR(VLOOKUP(B102,$D$10:N$44,11,FALSE)*365+TODAY())</f>
        <v>2028</v>
      </c>
      <c r="K102" s="71" t="str">
        <f t="shared" si="7"/>
        <v>IPCA</v>
      </c>
      <c r="L102" s="70">
        <f t="shared" si="8"/>
        <v>0</v>
      </c>
    </row>
    <row r="103" spans="1:18" s="68" customFormat="1" ht="24">
      <c r="A103" s="22"/>
      <c r="B103" s="69" t="str">
        <f t="shared" ref="B103:C103" si="11">D14</f>
        <v>21L0355178</v>
      </c>
      <c r="C103" s="69" t="str">
        <f t="shared" si="11"/>
        <v>Viracopos</v>
      </c>
      <c r="D103" s="70">
        <f t="shared" si="1"/>
        <v>4.8000000000000001E-2</v>
      </c>
      <c r="E103" s="70">
        <f t="shared" si="2"/>
        <v>5.1589129562775567E-2</v>
      </c>
      <c r="F103" s="71" t="str">
        <f t="shared" si="3"/>
        <v>True</v>
      </c>
      <c r="G103" s="71" t="str">
        <f t="shared" si="4"/>
        <v>Galpões Logísticos</v>
      </c>
      <c r="H103" s="71" t="str">
        <f t="shared" si="5"/>
        <v>SP</v>
      </c>
      <c r="I103" s="72">
        <f t="shared" si="6"/>
        <v>2031</v>
      </c>
      <c r="J103" s="71">
        <f ca="1">YEAR(VLOOKUP(B103,$D$10:N$44,11,FALSE)*365+TODAY())</f>
        <v>2028</v>
      </c>
      <c r="K103" s="71" t="str">
        <f t="shared" si="7"/>
        <v>IPCA</v>
      </c>
      <c r="L103" s="70">
        <f t="shared" si="8"/>
        <v>0.27</v>
      </c>
    </row>
    <row r="104" spans="1:18" s="68" customFormat="1" ht="24">
      <c r="A104" s="22"/>
      <c r="B104" s="69" t="str">
        <f t="shared" ref="B104:C104" si="12">D15</f>
        <v>23J1338137</v>
      </c>
      <c r="C104" s="69" t="str">
        <f t="shared" si="12"/>
        <v>ForGreen</v>
      </c>
      <c r="D104" s="70">
        <f t="shared" si="1"/>
        <v>4.4999999999999998E-2</v>
      </c>
      <c r="E104" s="70">
        <f t="shared" si="2"/>
        <v>4.8794783785018461E-2</v>
      </c>
      <c r="F104" s="71" t="str">
        <f t="shared" si="3"/>
        <v>Canal</v>
      </c>
      <c r="G104" s="71" t="str">
        <f t="shared" si="4"/>
        <v>Energia</v>
      </c>
      <c r="H104" s="71" t="str">
        <f t="shared" si="5"/>
        <v>MG</v>
      </c>
      <c r="I104" s="72">
        <f t="shared" si="6"/>
        <v>2033</v>
      </c>
      <c r="J104" s="71">
        <f ca="1">YEAR(VLOOKUP(B104,$D$10:N$44,11,FALSE)*365+TODAY())</f>
        <v>2028</v>
      </c>
      <c r="K104" s="71" t="str">
        <f t="shared" si="7"/>
        <v>IPCA</v>
      </c>
      <c r="L104" s="70">
        <f t="shared" si="8"/>
        <v>0</v>
      </c>
    </row>
    <row r="105" spans="1:18" s="68" customFormat="1" ht="24">
      <c r="A105" s="22"/>
      <c r="B105" s="69" t="str">
        <f t="shared" ref="B105:C105" si="13">D16</f>
        <v>21H0888186</v>
      </c>
      <c r="C105" s="69" t="str">
        <f t="shared" si="13"/>
        <v>Opy</v>
      </c>
      <c r="D105" s="70">
        <f t="shared" si="1"/>
        <v>0.04</v>
      </c>
      <c r="E105" s="70">
        <f t="shared" si="2"/>
        <v>4.3316854719160219E-2</v>
      </c>
      <c r="F105" s="71" t="str">
        <f t="shared" si="3"/>
        <v>Virgo</v>
      </c>
      <c r="G105" s="71" t="str">
        <f t="shared" si="4"/>
        <v>Outros</v>
      </c>
      <c r="H105" s="71" t="str">
        <f t="shared" si="5"/>
        <v>MG</v>
      </c>
      <c r="I105" s="72">
        <f t="shared" si="6"/>
        <v>2031</v>
      </c>
      <c r="J105" s="71">
        <f ca="1">YEAR(VLOOKUP(B105,$D$10:N$44,11,FALSE)*365+TODAY())</f>
        <v>2028</v>
      </c>
      <c r="K105" s="71" t="str">
        <f t="shared" si="7"/>
        <v>IPCA</v>
      </c>
      <c r="L105" s="70">
        <f t="shared" si="8"/>
        <v>0.5</v>
      </c>
    </row>
    <row r="106" spans="1:18" s="68" customFormat="1" ht="24">
      <c r="A106" s="22"/>
      <c r="B106" s="69" t="str">
        <f t="shared" ref="B106:C106" si="14">D17</f>
        <v>24A2806776</v>
      </c>
      <c r="C106" s="69" t="str">
        <f t="shared" si="14"/>
        <v>RCP</v>
      </c>
      <c r="D106" s="70">
        <f t="shared" si="1"/>
        <v>0.04</v>
      </c>
      <c r="E106" s="70">
        <f t="shared" si="2"/>
        <v>4.2749490047695134E-2</v>
      </c>
      <c r="F106" s="71" t="str">
        <f t="shared" si="3"/>
        <v>Virgo</v>
      </c>
      <c r="G106" s="71" t="str">
        <f t="shared" si="4"/>
        <v>Galpões Logísticos</v>
      </c>
      <c r="H106" s="71" t="str">
        <f t="shared" si="5"/>
        <v>SP</v>
      </c>
      <c r="I106" s="72">
        <f t="shared" si="6"/>
        <v>2039</v>
      </c>
      <c r="J106" s="71">
        <f ca="1">YEAR(VLOOKUP(B106,$D$10:N$44,11,FALSE)*365+TODAY())</f>
        <v>2031</v>
      </c>
      <c r="K106" s="71" t="str">
        <f t="shared" si="7"/>
        <v>IPCA</v>
      </c>
      <c r="L106" s="70">
        <f t="shared" si="8"/>
        <v>0.38</v>
      </c>
    </row>
    <row r="107" spans="1:18" s="68" customFormat="1" ht="24">
      <c r="A107" s="22"/>
      <c r="B107" s="69" t="str">
        <f t="shared" ref="B107:C107" si="15">D18</f>
        <v>23J2272828</v>
      </c>
      <c r="C107" s="69" t="str">
        <f t="shared" si="15"/>
        <v>PHV</v>
      </c>
      <c r="D107" s="70">
        <f t="shared" si="1"/>
        <v>3.7999999999999999E-2</v>
      </c>
      <c r="E107" s="70">
        <f t="shared" si="2"/>
        <v>4.1317237768606727E-2</v>
      </c>
      <c r="F107" s="71" t="str">
        <f t="shared" si="3"/>
        <v>True</v>
      </c>
      <c r="G107" s="71" t="str">
        <f t="shared" si="4"/>
        <v>Residencial</v>
      </c>
      <c r="H107" s="71" t="str">
        <f t="shared" si="5"/>
        <v>MG</v>
      </c>
      <c r="I107" s="72">
        <f t="shared" si="6"/>
        <v>2026</v>
      </c>
      <c r="J107" s="71">
        <f ca="1">YEAR(VLOOKUP(B107,$D$10:N$44,11,FALSE)*365+TODAY())</f>
        <v>2027</v>
      </c>
      <c r="K107" s="71" t="str">
        <f t="shared" si="7"/>
        <v>IPCA</v>
      </c>
      <c r="L107" s="70">
        <f t="shared" si="8"/>
        <v>0.47</v>
      </c>
    </row>
    <row r="108" spans="1:18" s="68" customFormat="1" ht="24">
      <c r="A108" s="22"/>
      <c r="B108" s="69" t="str">
        <f t="shared" ref="B108:C108" si="16">D19</f>
        <v>24L1567363</v>
      </c>
      <c r="C108" s="69" t="str">
        <f t="shared" si="16"/>
        <v>DUE</v>
      </c>
      <c r="D108" s="70">
        <f t="shared" si="1"/>
        <v>0.03</v>
      </c>
      <c r="E108" s="70">
        <f t="shared" si="2"/>
        <v>3.2029482532289863E-2</v>
      </c>
      <c r="F108" s="71" t="str">
        <f t="shared" si="3"/>
        <v>Canal</v>
      </c>
      <c r="G108" s="71" t="str">
        <f t="shared" si="4"/>
        <v>Residencial</v>
      </c>
      <c r="H108" s="71" t="str">
        <f t="shared" si="5"/>
        <v>PE</v>
      </c>
      <c r="I108" s="72">
        <f t="shared" si="6"/>
        <v>2028</v>
      </c>
      <c r="J108" s="71">
        <f ca="1">YEAR(VLOOKUP(B108,$D$10:N$44,11,FALSE)*365+TODAY())</f>
        <v>2027</v>
      </c>
      <c r="K108" s="71" t="str">
        <f t="shared" si="7"/>
        <v xml:space="preserve">CDI </v>
      </c>
      <c r="L108" s="70">
        <f t="shared" si="8"/>
        <v>0.47</v>
      </c>
    </row>
    <row r="109" spans="1:18" s="68" customFormat="1" ht="24">
      <c r="A109" s="22"/>
      <c r="B109" s="69" t="str">
        <f t="shared" ref="B109:C109" si="17">D20</f>
        <v>23G2304202</v>
      </c>
      <c r="C109" s="69" t="str">
        <f t="shared" si="17"/>
        <v>Caprem</v>
      </c>
      <c r="D109" s="70">
        <f t="shared" si="1"/>
        <v>2.9000000000000001E-2</v>
      </c>
      <c r="E109" s="70">
        <f t="shared" si="2"/>
        <v>3.1587458014796073E-2</v>
      </c>
      <c r="F109" s="71" t="str">
        <f t="shared" si="3"/>
        <v>Travessia</v>
      </c>
      <c r="G109" s="71" t="str">
        <f t="shared" si="4"/>
        <v>Residencial</v>
      </c>
      <c r="H109" s="71" t="str">
        <f t="shared" si="5"/>
        <v>SP</v>
      </c>
      <c r="I109" s="72">
        <f t="shared" si="6"/>
        <v>2027</v>
      </c>
      <c r="J109" s="71">
        <f ca="1">YEAR(VLOOKUP(B109,$D$10:N$44,11,FALSE)*365+TODAY())</f>
        <v>2028</v>
      </c>
      <c r="K109" s="71" t="str">
        <f t="shared" si="7"/>
        <v>IPCA</v>
      </c>
      <c r="L109" s="70">
        <f t="shared" si="8"/>
        <v>0.71</v>
      </c>
    </row>
    <row r="110" spans="1:18" s="68" customFormat="1" ht="24">
      <c r="A110" s="22"/>
      <c r="B110" s="69" t="str">
        <f t="shared" ref="B110:C110" si="18">D21</f>
        <v>22K1685406</v>
      </c>
      <c r="C110" s="69" t="str">
        <f t="shared" si="18"/>
        <v>Diferencial</v>
      </c>
      <c r="D110" s="70">
        <f t="shared" si="1"/>
        <v>2.8000000000000001E-2</v>
      </c>
      <c r="E110" s="70">
        <f t="shared" si="2"/>
        <v>3.0708475929691104E-2</v>
      </c>
      <c r="F110" s="71" t="str">
        <f t="shared" si="3"/>
        <v>Virgo</v>
      </c>
      <c r="G110" s="71" t="str">
        <f t="shared" si="4"/>
        <v>Energia</v>
      </c>
      <c r="H110" s="71" t="str">
        <f t="shared" si="5"/>
        <v>RJ</v>
      </c>
      <c r="I110" s="72">
        <f t="shared" si="6"/>
        <v>2032</v>
      </c>
      <c r="J110" s="71">
        <f ca="1">YEAR(VLOOKUP(B110,$D$10:N$44,11,FALSE)*365+TODAY())</f>
        <v>2029</v>
      </c>
      <c r="K110" s="71" t="str">
        <f t="shared" si="7"/>
        <v>IPCA</v>
      </c>
      <c r="L110" s="70">
        <f t="shared" si="8"/>
        <v>0</v>
      </c>
    </row>
    <row r="111" spans="1:18" s="68" customFormat="1" ht="24">
      <c r="A111" s="22"/>
      <c r="B111" s="69" t="str">
        <f t="shared" ref="B111:C111" si="19">D22</f>
        <v>25C3605714</v>
      </c>
      <c r="C111" s="69" t="str">
        <f t="shared" si="19"/>
        <v>Lotus II</v>
      </c>
      <c r="D111" s="70">
        <f t="shared" si="1"/>
        <v>2.4E-2</v>
      </c>
      <c r="E111" s="70">
        <f t="shared" si="2"/>
        <v>2.642438598787689E-2</v>
      </c>
      <c r="F111" s="71" t="str">
        <f t="shared" si="3"/>
        <v>Canal</v>
      </c>
      <c r="G111" s="71" t="str">
        <f t="shared" si="4"/>
        <v>Corporativo</v>
      </c>
      <c r="H111" s="71" t="str">
        <f t="shared" si="5"/>
        <v>DF</v>
      </c>
      <c r="I111" s="72">
        <f t="shared" si="6"/>
        <v>2028</v>
      </c>
      <c r="J111" s="71">
        <f ca="1">YEAR(VLOOKUP(B111,$D$10:N$44,11,FALSE)*365+TODAY())</f>
        <v>2028</v>
      </c>
      <c r="K111" s="71" t="str">
        <f t="shared" si="7"/>
        <v>Pré</v>
      </c>
      <c r="L111" s="70">
        <f t="shared" si="8"/>
        <v>0.75</v>
      </c>
    </row>
    <row r="112" spans="1:18" s="68" customFormat="1" ht="24">
      <c r="A112" s="22"/>
      <c r="B112" s="69" t="str">
        <f t="shared" ref="B112:C112" si="20">D23</f>
        <v>20G0926014</v>
      </c>
      <c r="C112" s="69" t="str">
        <f t="shared" si="20"/>
        <v>Quero Quero</v>
      </c>
      <c r="D112" s="70">
        <f t="shared" si="1"/>
        <v>2.4E-2</v>
      </c>
      <c r="E112" s="70">
        <f t="shared" si="2"/>
        <v>2.6157874323627678E-2</v>
      </c>
      <c r="F112" s="71" t="str">
        <f t="shared" si="3"/>
        <v>Habitasec</v>
      </c>
      <c r="G112" s="71" t="str">
        <f t="shared" si="4"/>
        <v>Galpões Logísticos</v>
      </c>
      <c r="H112" s="71" t="str">
        <f t="shared" si="5"/>
        <v>RS</v>
      </c>
      <c r="I112" s="72">
        <f t="shared" si="6"/>
        <v>2041</v>
      </c>
      <c r="J112" s="71">
        <f ca="1">YEAR(VLOOKUP(B112,$D$10:N$44,11,FALSE)*365+TODAY())</f>
        <v>2032</v>
      </c>
      <c r="K112" s="71" t="str">
        <f t="shared" si="7"/>
        <v>IPCA</v>
      </c>
      <c r="L112" s="70">
        <f t="shared" si="8"/>
        <v>0.60499999999999998</v>
      </c>
    </row>
    <row r="113" spans="1:12" s="68" customFormat="1" ht="24">
      <c r="A113" s="22"/>
      <c r="B113" s="69" t="str">
        <f t="shared" ref="B113:C113" si="21">D24</f>
        <v>21B0631104</v>
      </c>
      <c r="C113" s="69" t="str">
        <f t="shared" si="21"/>
        <v>Sotreq</v>
      </c>
      <c r="D113" s="70">
        <f t="shared" si="1"/>
        <v>2.4E-2</v>
      </c>
      <c r="E113" s="70">
        <f t="shared" si="2"/>
        <v>2.5942399612600822E-2</v>
      </c>
      <c r="F113" s="71" t="str">
        <f t="shared" si="3"/>
        <v>Opea</v>
      </c>
      <c r="G113" s="71" t="str">
        <f t="shared" si="4"/>
        <v>Galpões Logísticos</v>
      </c>
      <c r="H113" s="71" t="str">
        <f t="shared" si="5"/>
        <v>PA</v>
      </c>
      <c r="I113" s="72">
        <f t="shared" si="6"/>
        <v>2036</v>
      </c>
      <c r="J113" s="71">
        <f ca="1">YEAR(VLOOKUP(B113,$D$10:N$44,11,FALSE)*365+TODAY())</f>
        <v>2031</v>
      </c>
      <c r="K113" s="71" t="str">
        <f t="shared" si="7"/>
        <v>IPCA</v>
      </c>
      <c r="L113" s="70">
        <f t="shared" si="8"/>
        <v>0.76986912663199547</v>
      </c>
    </row>
    <row r="114" spans="1:12" s="68" customFormat="1" ht="24">
      <c r="A114" s="22"/>
      <c r="B114" s="69" t="str">
        <f t="shared" ref="B114:C114" si="22">D25</f>
        <v>20K0696607</v>
      </c>
      <c r="C114" s="69" t="str">
        <f t="shared" si="22"/>
        <v>Pague Menos</v>
      </c>
      <c r="D114" s="70">
        <f t="shared" si="1"/>
        <v>2.3E-2</v>
      </c>
      <c r="E114" s="70">
        <f t="shared" si="2"/>
        <v>2.5198841162105703E-2</v>
      </c>
      <c r="F114" s="71" t="str">
        <f t="shared" si="3"/>
        <v>True</v>
      </c>
      <c r="G114" s="71" t="str">
        <f t="shared" si="4"/>
        <v>Varejo</v>
      </c>
      <c r="H114" s="71" t="str">
        <f t="shared" si="5"/>
        <v>-</v>
      </c>
      <c r="I114" s="72">
        <f t="shared" si="6"/>
        <v>2040</v>
      </c>
      <c r="J114" s="71">
        <f ca="1">YEAR(VLOOKUP(B114,$D$10:N$44,11,FALSE)*365+TODAY())</f>
        <v>2032</v>
      </c>
      <c r="K114" s="71" t="str">
        <f t="shared" si="7"/>
        <v>IPCA</v>
      </c>
      <c r="L114" s="70">
        <f t="shared" si="8"/>
        <v>0.71</v>
      </c>
    </row>
    <row r="115" spans="1:12" s="68" customFormat="1" ht="24">
      <c r="A115" s="22"/>
      <c r="B115" s="69" t="str">
        <f t="shared" ref="B115:C115" si="23">D26</f>
        <v>24L2720216</v>
      </c>
      <c r="C115" s="69" t="str">
        <f t="shared" si="23"/>
        <v>Gt Urbanismo</v>
      </c>
      <c r="D115" s="70">
        <f t="shared" si="1"/>
        <v>2.3E-2</v>
      </c>
      <c r="E115" s="70">
        <f t="shared" si="2"/>
        <v>2.4650872248061513E-2</v>
      </c>
      <c r="F115" s="71" t="str">
        <f t="shared" si="3"/>
        <v>Virgo</v>
      </c>
      <c r="G115" s="71" t="str">
        <f t="shared" si="4"/>
        <v>Loteamento</v>
      </c>
      <c r="H115" s="71" t="str">
        <f t="shared" si="5"/>
        <v>-</v>
      </c>
      <c r="I115" s="72">
        <f t="shared" si="6"/>
        <v>2035</v>
      </c>
      <c r="J115" s="71">
        <f ca="1">YEAR(VLOOKUP(B115,$D$10:N$44,11,FALSE)*365+TODAY())</f>
        <v>2030</v>
      </c>
      <c r="K115" s="71" t="str">
        <f t="shared" si="7"/>
        <v>IPCA</v>
      </c>
      <c r="L115" s="70">
        <f t="shared" si="8"/>
        <v>0.66225165562913912</v>
      </c>
    </row>
    <row r="116" spans="1:12" s="68" customFormat="1" ht="24">
      <c r="A116" s="22"/>
      <c r="B116" s="69" t="str">
        <f t="shared" ref="B116:C116" si="24">D27</f>
        <v>21H0748795</v>
      </c>
      <c r="C116" s="69" t="str">
        <f t="shared" si="24"/>
        <v>CK</v>
      </c>
      <c r="D116" s="70">
        <f t="shared" si="1"/>
        <v>2.3E-2</v>
      </c>
      <c r="E116" s="70">
        <f t="shared" si="2"/>
        <v>2.4550522073521781E-2</v>
      </c>
      <c r="F116" s="71" t="str">
        <f t="shared" si="3"/>
        <v>True</v>
      </c>
      <c r="G116" s="71" t="str">
        <f t="shared" si="4"/>
        <v>Residencial</v>
      </c>
      <c r="H116" s="71" t="str">
        <f t="shared" si="5"/>
        <v>SC</v>
      </c>
      <c r="I116" s="72">
        <f t="shared" si="6"/>
        <v>2026</v>
      </c>
      <c r="J116" s="71">
        <f ca="1">YEAR(VLOOKUP(B116,$D$10:N$44,11,FALSE)*365+TODAY())</f>
        <v>2027</v>
      </c>
      <c r="K116" s="71" t="str">
        <f t="shared" si="7"/>
        <v xml:space="preserve">CDI </v>
      </c>
      <c r="L116" s="70">
        <f t="shared" si="8"/>
        <v>0.47458892159751703</v>
      </c>
    </row>
    <row r="117" spans="1:12" s="68" customFormat="1" ht="24">
      <c r="A117" s="22"/>
      <c r="B117" s="69" t="str">
        <f t="shared" ref="B117:C117" si="25">D28</f>
        <v>23L1199759</v>
      </c>
      <c r="C117" s="69" t="str">
        <f t="shared" si="25"/>
        <v>Urba</v>
      </c>
      <c r="D117" s="70">
        <f t="shared" si="1"/>
        <v>2.1999999999999999E-2</v>
      </c>
      <c r="E117" s="70">
        <f t="shared" si="2"/>
        <v>2.389118853757205E-2</v>
      </c>
      <c r="F117" s="71" t="str">
        <f t="shared" si="3"/>
        <v>True</v>
      </c>
      <c r="G117" s="71" t="str">
        <f t="shared" si="4"/>
        <v>Loteamento</v>
      </c>
      <c r="H117" s="71" t="str">
        <f t="shared" si="5"/>
        <v>-</v>
      </c>
      <c r="I117" s="72">
        <f t="shared" si="6"/>
        <v>2033</v>
      </c>
      <c r="J117" s="71">
        <f ca="1">YEAR(VLOOKUP(B117,$D$10:N$44,11,FALSE)*365+TODAY())</f>
        <v>2028</v>
      </c>
      <c r="K117" s="71" t="str">
        <f t="shared" si="7"/>
        <v>IPCA</v>
      </c>
      <c r="L117" s="70">
        <f t="shared" si="8"/>
        <v>0.43103448275862066</v>
      </c>
    </row>
    <row r="118" spans="1:12" s="68" customFormat="1" ht="24">
      <c r="A118" s="22"/>
      <c r="B118" s="69" t="str">
        <f t="shared" ref="B118:C118" si="26">D29</f>
        <v>21H0891311</v>
      </c>
      <c r="C118" s="69" t="str">
        <f t="shared" si="26"/>
        <v>Lote5</v>
      </c>
      <c r="D118" s="70">
        <f t="shared" si="1"/>
        <v>2.1999999999999999E-2</v>
      </c>
      <c r="E118" s="70">
        <f t="shared" si="2"/>
        <v>2.3308973675176006E-2</v>
      </c>
      <c r="F118" s="71" t="str">
        <f t="shared" si="3"/>
        <v>Ore</v>
      </c>
      <c r="G118" s="71" t="str">
        <f t="shared" si="4"/>
        <v>Loteamento</v>
      </c>
      <c r="H118" s="71" t="str">
        <f t="shared" si="5"/>
        <v>SP</v>
      </c>
      <c r="I118" s="72">
        <f t="shared" si="6"/>
        <v>2031</v>
      </c>
      <c r="J118" s="71">
        <f ca="1">YEAR(VLOOKUP(B118,$D$10:N$44,11,FALSE)*365+TODAY())</f>
        <v>2028</v>
      </c>
      <c r="K118" s="71" t="str">
        <f t="shared" si="7"/>
        <v>IPCA</v>
      </c>
      <c r="L118" s="70">
        <f t="shared" si="8"/>
        <v>0.72013778349874746</v>
      </c>
    </row>
    <row r="119" spans="1:12" s="68" customFormat="1" ht="24">
      <c r="A119" s="22"/>
      <c r="B119" s="69" t="str">
        <f t="shared" ref="B119:C119" si="27">D30</f>
        <v>23C2831601</v>
      </c>
      <c r="C119" s="69" t="str">
        <f t="shared" si="27"/>
        <v>Teriva</v>
      </c>
      <c r="D119" s="70">
        <f t="shared" si="1"/>
        <v>1.9E-2</v>
      </c>
      <c r="E119" s="70">
        <f t="shared" si="2"/>
        <v>2.0847748110581328E-2</v>
      </c>
      <c r="F119" s="71" t="str">
        <f t="shared" si="3"/>
        <v>True</v>
      </c>
      <c r="G119" s="71" t="str">
        <f t="shared" si="4"/>
        <v>Loteamento</v>
      </c>
      <c r="H119" s="71" t="str">
        <f t="shared" si="5"/>
        <v>SP</v>
      </c>
      <c r="I119" s="72">
        <f t="shared" si="6"/>
        <v>2030</v>
      </c>
      <c r="J119" s="71">
        <f ca="1">YEAR(VLOOKUP(B119,$D$10:N$44,11,FALSE)*365+TODAY())</f>
        <v>2027</v>
      </c>
      <c r="K119" s="71" t="str">
        <f t="shared" si="7"/>
        <v xml:space="preserve">CDI </v>
      </c>
      <c r="L119" s="70">
        <f t="shared" si="8"/>
        <v>0.54207428997788365</v>
      </c>
    </row>
    <row r="120" spans="1:12" s="68" customFormat="1" ht="24">
      <c r="A120" s="22"/>
      <c r="B120" s="69" t="str">
        <f t="shared" ref="B120:C120" si="28">D31</f>
        <v>20K0568000</v>
      </c>
      <c r="C120" s="69" t="str">
        <f t="shared" si="28"/>
        <v>Sinal</v>
      </c>
      <c r="D120" s="70">
        <f t="shared" si="1"/>
        <v>1.7000000000000001E-2</v>
      </c>
      <c r="E120" s="70">
        <f t="shared" si="2"/>
        <v>1.8772222757711086E-2</v>
      </c>
      <c r="F120" s="71" t="str">
        <f t="shared" si="3"/>
        <v>Virgo</v>
      </c>
      <c r="G120" s="71" t="str">
        <f t="shared" si="4"/>
        <v>Corporativo</v>
      </c>
      <c r="H120" s="71" t="str">
        <f t="shared" si="5"/>
        <v>SP</v>
      </c>
      <c r="I120" s="72">
        <f t="shared" si="6"/>
        <v>2032</v>
      </c>
      <c r="J120" s="71">
        <f ca="1">YEAR(VLOOKUP(B120,$D$10:N$44,11,FALSE)*365+TODAY())</f>
        <v>2029</v>
      </c>
      <c r="K120" s="71" t="str">
        <f t="shared" si="7"/>
        <v>IPCA</v>
      </c>
      <c r="L120" s="70">
        <f t="shared" si="8"/>
        <v>0.55100000000000005</v>
      </c>
    </row>
    <row r="121" spans="1:12" s="68" customFormat="1" ht="24">
      <c r="A121" s="22"/>
      <c r="B121" s="69" t="str">
        <f t="shared" ref="B121:C121" si="29">D32</f>
        <v>21H0001405</v>
      </c>
      <c r="C121" s="69" t="str">
        <f t="shared" si="29"/>
        <v>Casa &amp; Vídeo</v>
      </c>
      <c r="D121" s="70">
        <f t="shared" si="1"/>
        <v>1.6E-2</v>
      </c>
      <c r="E121" s="70">
        <f t="shared" si="2"/>
        <v>1.7324617100480992E-2</v>
      </c>
      <c r="F121" s="71" t="str">
        <f t="shared" si="3"/>
        <v>Virgo</v>
      </c>
      <c r="G121" s="71" t="str">
        <f t="shared" si="4"/>
        <v>Varejo</v>
      </c>
      <c r="H121" s="71" t="str">
        <f t="shared" si="5"/>
        <v>-</v>
      </c>
      <c r="I121" s="72">
        <f t="shared" si="6"/>
        <v>2027</v>
      </c>
      <c r="J121" s="71">
        <f ca="1">YEAR(VLOOKUP(B121,$D$10:N$44,11,FALSE)*365+TODAY())</f>
        <v>2026</v>
      </c>
      <c r="K121" s="71" t="str">
        <f t="shared" si="7"/>
        <v>IPCA</v>
      </c>
      <c r="L121" s="70">
        <f t="shared" si="8"/>
        <v>0</v>
      </c>
    </row>
    <row r="122" spans="1:12" s="68" customFormat="1" ht="24">
      <c r="A122" s="22"/>
      <c r="B122" s="69" t="str">
        <f t="shared" ref="B122:C122" si="30">D33</f>
        <v>21F0568989</v>
      </c>
      <c r="C122" s="69" t="str">
        <f t="shared" si="30"/>
        <v>Pulverizado Ore</v>
      </c>
      <c r="D122" s="70">
        <f t="shared" si="1"/>
        <v>1.4999999999999999E-2</v>
      </c>
      <c r="E122" s="70">
        <f t="shared" si="2"/>
        <v>1.645983157841736E-2</v>
      </c>
      <c r="F122" s="71" t="str">
        <f t="shared" si="3"/>
        <v>Ore</v>
      </c>
      <c r="G122" s="71" t="str">
        <f t="shared" si="4"/>
        <v>Residencial</v>
      </c>
      <c r="H122" s="71" t="str">
        <f t="shared" si="5"/>
        <v>SP</v>
      </c>
      <c r="I122" s="72">
        <f t="shared" si="6"/>
        <v>2036</v>
      </c>
      <c r="J122" s="71">
        <f ca="1">YEAR(VLOOKUP(B122,$D$10:N$44,11,FALSE)*365+TODAY())</f>
        <v>2029</v>
      </c>
      <c r="K122" s="71" t="str">
        <f t="shared" si="7"/>
        <v>IPCA</v>
      </c>
      <c r="L122" s="70">
        <f t="shared" si="8"/>
        <v>0.75</v>
      </c>
    </row>
    <row r="123" spans="1:12" s="68" customFormat="1" ht="24">
      <c r="A123" s="22"/>
      <c r="B123" s="69" t="str">
        <f t="shared" ref="B123:C123" si="31">D34</f>
        <v>21L0354209</v>
      </c>
      <c r="C123" s="69" t="str">
        <f t="shared" si="31"/>
        <v>Viracopos</v>
      </c>
      <c r="D123" s="70">
        <f t="shared" si="1"/>
        <v>1.2999999999999999E-2</v>
      </c>
      <c r="E123" s="70">
        <f t="shared" si="2"/>
        <v>1.4058544618137984E-2</v>
      </c>
      <c r="F123" s="71" t="str">
        <f t="shared" si="3"/>
        <v>True</v>
      </c>
      <c r="G123" s="71" t="str">
        <f t="shared" si="4"/>
        <v>Galpões Logísticos</v>
      </c>
      <c r="H123" s="71" t="str">
        <f t="shared" si="5"/>
        <v>SP</v>
      </c>
      <c r="I123" s="72">
        <f t="shared" si="6"/>
        <v>2031</v>
      </c>
      <c r="J123" s="71">
        <f ca="1">YEAR(VLOOKUP(B123,$D$10:N$44,11,FALSE)*365+TODAY())</f>
        <v>2028</v>
      </c>
      <c r="K123" s="71" t="str">
        <f t="shared" si="7"/>
        <v>IPCA</v>
      </c>
      <c r="L123" s="70">
        <f t="shared" si="8"/>
        <v>0.27</v>
      </c>
    </row>
    <row r="124" spans="1:12" s="68" customFormat="1" ht="24">
      <c r="A124" s="22"/>
      <c r="B124" s="69" t="str">
        <f t="shared" ref="B124:C124" si="32">D35</f>
        <v>21D0402879</v>
      </c>
      <c r="C124" s="69" t="str">
        <f t="shared" si="32"/>
        <v>Pontte</v>
      </c>
      <c r="D124" s="70">
        <f t="shared" si="1"/>
        <v>1.2999999999999999E-2</v>
      </c>
      <c r="E124" s="70">
        <f t="shared" si="2"/>
        <v>1.4024726460688856E-2</v>
      </c>
      <c r="F124" s="71" t="str">
        <f t="shared" si="3"/>
        <v>True</v>
      </c>
      <c r="G124" s="71" t="str">
        <f t="shared" si="4"/>
        <v>Home Equity</v>
      </c>
      <c r="H124" s="71" t="str">
        <f t="shared" si="5"/>
        <v>-</v>
      </c>
      <c r="I124" s="72">
        <f t="shared" si="6"/>
        <v>2036</v>
      </c>
      <c r="J124" s="71">
        <f ca="1">YEAR(VLOOKUP(B124,$D$10:N$44,11,FALSE)*365+TODAY())</f>
        <v>2029</v>
      </c>
      <c r="K124" s="71" t="str">
        <f t="shared" si="7"/>
        <v>IPCA</v>
      </c>
      <c r="L124" s="70">
        <f t="shared" si="8"/>
        <v>0.52580000000000005</v>
      </c>
    </row>
    <row r="125" spans="1:12" s="68" customFormat="1" ht="24">
      <c r="A125" s="22"/>
      <c r="B125" s="69" t="str">
        <f t="shared" ref="B125:C125" si="33">D36</f>
        <v>21E0665350</v>
      </c>
      <c r="C125" s="69" t="str">
        <f t="shared" si="33"/>
        <v>Solfarma</v>
      </c>
      <c r="D125" s="70">
        <f t="shared" si="1"/>
        <v>1.2E-2</v>
      </c>
      <c r="E125" s="70">
        <f t="shared" si="2"/>
        <v>1.2793209088830608E-2</v>
      </c>
      <c r="F125" s="71" t="str">
        <f t="shared" si="3"/>
        <v>Travessia</v>
      </c>
      <c r="G125" s="71" t="str">
        <f t="shared" si="4"/>
        <v>Galpões Logísticos</v>
      </c>
      <c r="H125" s="71" t="str">
        <f t="shared" si="5"/>
        <v>SP</v>
      </c>
      <c r="I125" s="72">
        <f t="shared" si="6"/>
        <v>2026</v>
      </c>
      <c r="J125" s="71">
        <f ca="1">YEAR(VLOOKUP(B125,$D$10:N$44,11,FALSE)*365+TODAY())</f>
        <v>2026</v>
      </c>
      <c r="K125" s="71" t="str">
        <f t="shared" si="7"/>
        <v>IPCA</v>
      </c>
      <c r="L125" s="70">
        <f t="shared" si="8"/>
        <v>0.46200000000000002</v>
      </c>
    </row>
    <row r="126" spans="1:12" s="68" customFormat="1" ht="24">
      <c r="A126" s="22"/>
      <c r="B126" s="69" t="str">
        <f t="shared" ref="B126:C126" si="34">D37</f>
        <v>21I0912120</v>
      </c>
      <c r="C126" s="69" t="str">
        <f t="shared" si="34"/>
        <v>Minas Brisa</v>
      </c>
      <c r="D126" s="70">
        <f t="shared" si="1"/>
        <v>1.0999999999999999E-2</v>
      </c>
      <c r="E126" s="70">
        <f t="shared" si="2"/>
        <v>1.2059744290990677E-2</v>
      </c>
      <c r="F126" s="71" t="str">
        <f t="shared" si="3"/>
        <v>Ore</v>
      </c>
      <c r="G126" s="71" t="str">
        <f t="shared" si="4"/>
        <v>Residencial</v>
      </c>
      <c r="H126" s="71" t="str">
        <f t="shared" si="5"/>
        <v>MG</v>
      </c>
      <c r="I126" s="72">
        <f t="shared" si="6"/>
        <v>2028</v>
      </c>
      <c r="J126" s="71">
        <f ca="1">YEAR(VLOOKUP(B126,$D$10:N$44,11,FALSE)*365+TODAY())</f>
        <v>2027</v>
      </c>
      <c r="K126" s="71" t="str">
        <f t="shared" si="7"/>
        <v xml:space="preserve">CDI </v>
      </c>
      <c r="L126" s="70">
        <f t="shared" si="8"/>
        <v>0.82452062911393531</v>
      </c>
    </row>
    <row r="127" spans="1:12" s="68" customFormat="1" ht="24">
      <c r="A127" s="22"/>
      <c r="B127" s="69" t="str">
        <f t="shared" ref="B127:C127" si="35">D38</f>
        <v>21D0779652</v>
      </c>
      <c r="C127" s="69" t="str">
        <f t="shared" si="35"/>
        <v>Wimo</v>
      </c>
      <c r="D127" s="70">
        <f t="shared" si="1"/>
        <v>0.01</v>
      </c>
      <c r="E127" s="70">
        <f t="shared" si="2"/>
        <v>1.1289697809844474E-2</v>
      </c>
      <c r="F127" s="71" t="str">
        <f t="shared" si="3"/>
        <v>Virgo</v>
      </c>
      <c r="G127" s="71" t="str">
        <f t="shared" si="4"/>
        <v>Home Equity</v>
      </c>
      <c r="H127" s="71" t="str">
        <f t="shared" si="5"/>
        <v>-</v>
      </c>
      <c r="I127" s="72">
        <f t="shared" si="6"/>
        <v>2036</v>
      </c>
      <c r="J127" s="71">
        <f ca="1">YEAR(VLOOKUP(B127,$D$10:N$44,11,FALSE)*365+TODAY())</f>
        <v>2030</v>
      </c>
      <c r="K127" s="71" t="str">
        <f t="shared" si="7"/>
        <v>IPCA</v>
      </c>
      <c r="L127" s="70">
        <f t="shared" si="8"/>
        <v>0.34</v>
      </c>
    </row>
    <row r="128" spans="1:12" s="68" customFormat="1" ht="24">
      <c r="A128" s="22"/>
      <c r="B128" s="69" t="str">
        <f t="shared" ref="B128:C128" si="36">D39</f>
        <v>23G0006401</v>
      </c>
      <c r="C128" s="69" t="str">
        <f t="shared" si="36"/>
        <v>Habitat</v>
      </c>
      <c r="D128" s="70">
        <f t="shared" si="1"/>
        <v>8.9999999999999993E-3</v>
      </c>
      <c r="E128" s="70">
        <f t="shared" si="2"/>
        <v>9.7358322920898833E-3</v>
      </c>
      <c r="F128" s="71" t="str">
        <f t="shared" si="3"/>
        <v>True</v>
      </c>
      <c r="G128" s="71" t="str">
        <f t="shared" si="4"/>
        <v>Residencial</v>
      </c>
      <c r="H128" s="71" t="str">
        <f t="shared" si="5"/>
        <v>GO</v>
      </c>
      <c r="I128" s="72">
        <f t="shared" si="6"/>
        <v>2033</v>
      </c>
      <c r="J128" s="71">
        <f ca="1">YEAR(VLOOKUP(B128,$D$10:N$44,11,FALSE)*365+TODAY())</f>
        <v>2031</v>
      </c>
      <c r="K128" s="71" t="str">
        <f t="shared" si="7"/>
        <v>IPCA</v>
      </c>
      <c r="L128" s="70">
        <f t="shared" si="8"/>
        <v>0.42</v>
      </c>
    </row>
    <row r="129" spans="1:20" s="68" customFormat="1" ht="24">
      <c r="A129" s="22"/>
      <c r="B129" s="69" t="str">
        <f t="shared" ref="B129:C129" si="37">D40</f>
        <v>20J0837185</v>
      </c>
      <c r="C129" s="69" t="str">
        <f t="shared" si="37"/>
        <v>Creditas</v>
      </c>
      <c r="D129" s="70">
        <f t="shared" si="1"/>
        <v>8.0000000000000002E-3</v>
      </c>
      <c r="E129" s="70">
        <f t="shared" si="2"/>
        <v>8.216510340346133E-3</v>
      </c>
      <c r="F129" s="71" t="str">
        <f t="shared" si="3"/>
        <v>Vert</v>
      </c>
      <c r="G129" s="71" t="str">
        <f t="shared" si="4"/>
        <v>Home Equity</v>
      </c>
      <c r="H129" s="71" t="str">
        <f t="shared" si="5"/>
        <v>-</v>
      </c>
      <c r="I129" s="72">
        <f t="shared" si="6"/>
        <v>2040</v>
      </c>
      <c r="J129" s="71">
        <f ca="1">YEAR(VLOOKUP(B129,$D$10:N$44,11,FALSE)*365+TODAY())</f>
        <v>2031</v>
      </c>
      <c r="K129" s="71" t="str">
        <f t="shared" si="7"/>
        <v>IPCA</v>
      </c>
      <c r="L129" s="70">
        <f t="shared" si="8"/>
        <v>0.35580000000000001</v>
      </c>
    </row>
    <row r="130" spans="1:20" s="68" customFormat="1" ht="36">
      <c r="A130" s="22"/>
      <c r="B130" s="69" t="str">
        <f t="shared" ref="B130:C130" si="38">D41</f>
        <v>23D1293668</v>
      </c>
      <c r="C130" s="69" t="str">
        <f t="shared" si="38"/>
        <v>MS Incorporadora</v>
      </c>
      <c r="D130" s="70">
        <f t="shared" si="1"/>
        <v>7.0000000000000001E-3</v>
      </c>
      <c r="E130" s="70">
        <f t="shared" si="2"/>
        <v>7.1692069121663754E-3</v>
      </c>
      <c r="F130" s="71" t="str">
        <f t="shared" si="3"/>
        <v>Canal</v>
      </c>
      <c r="G130" s="71" t="str">
        <f t="shared" si="4"/>
        <v>Residencial</v>
      </c>
      <c r="H130" s="71" t="str">
        <f t="shared" si="5"/>
        <v>SC</v>
      </c>
      <c r="I130" s="72">
        <f t="shared" si="6"/>
        <v>2028</v>
      </c>
      <c r="J130" s="71">
        <f ca="1">YEAR(VLOOKUP(B130,$D$10:N$44,11,FALSE)*365+TODAY())</f>
        <v>2028</v>
      </c>
      <c r="K130" s="71" t="str">
        <f t="shared" si="7"/>
        <v>IPCA</v>
      </c>
      <c r="L130" s="70">
        <f t="shared" si="8"/>
        <v>0.42</v>
      </c>
    </row>
    <row r="131" spans="1:20" s="68" customFormat="1" ht="24">
      <c r="A131" s="22"/>
      <c r="B131" s="69" t="str">
        <f t="shared" ref="B131:C131" si="39">D42</f>
        <v>23B0493519</v>
      </c>
      <c r="C131" s="69" t="str">
        <f t="shared" si="39"/>
        <v>ForGreen</v>
      </c>
      <c r="D131" s="70">
        <f t="shared" si="1"/>
        <v>5.0000000000000001E-3</v>
      </c>
      <c r="E131" s="70">
        <f t="shared" si="2"/>
        <v>5.1178107058140387E-3</v>
      </c>
      <c r="F131" s="71" t="str">
        <f t="shared" si="3"/>
        <v>Canal</v>
      </c>
      <c r="G131" s="71" t="str">
        <f t="shared" si="4"/>
        <v>Energia</v>
      </c>
      <c r="H131" s="71" t="str">
        <f t="shared" si="5"/>
        <v>MG</v>
      </c>
      <c r="I131" s="72">
        <f t="shared" si="6"/>
        <v>2033</v>
      </c>
      <c r="J131" s="71">
        <f ca="1">YEAR(VLOOKUP(B131,$D$10:N$44,11,FALSE)*365+TODAY())</f>
        <v>2029</v>
      </c>
      <c r="K131" s="71" t="str">
        <f t="shared" si="7"/>
        <v>IPCA</v>
      </c>
      <c r="L131" s="70">
        <f t="shared" si="8"/>
        <v>0</v>
      </c>
    </row>
    <row r="132" spans="1:20" s="68" customFormat="1" ht="24">
      <c r="A132" s="22"/>
      <c r="B132" s="69" t="str">
        <f t="shared" ref="B132:C132" si="40">D43</f>
        <v>21L0355069</v>
      </c>
      <c r="C132" s="69" t="str">
        <f t="shared" si="40"/>
        <v>Viracopos</v>
      </c>
      <c r="D132" s="70">
        <f t="shared" si="1"/>
        <v>4.0000000000000001E-3</v>
      </c>
      <c r="E132" s="70">
        <f t="shared" si="2"/>
        <v>4.6542775776955104E-3</v>
      </c>
      <c r="F132" s="71" t="str">
        <f t="shared" si="3"/>
        <v>True</v>
      </c>
      <c r="G132" s="71" t="str">
        <f t="shared" si="4"/>
        <v>Galpões Logísticos</v>
      </c>
      <c r="H132" s="71" t="str">
        <f t="shared" si="5"/>
        <v>SP</v>
      </c>
      <c r="I132" s="72">
        <f t="shared" si="6"/>
        <v>2031</v>
      </c>
      <c r="J132" s="71">
        <f ca="1">YEAR(VLOOKUP(B132,$D$10:N$44,11,FALSE)*365+TODAY())</f>
        <v>2028</v>
      </c>
      <c r="K132" s="71" t="str">
        <f t="shared" si="7"/>
        <v>IPCA</v>
      </c>
      <c r="L132" s="70">
        <f t="shared" si="8"/>
        <v>0.27</v>
      </c>
    </row>
    <row r="133" spans="1:20" s="68" customFormat="1" ht="24">
      <c r="A133" s="22"/>
      <c r="B133" s="69" t="str">
        <f t="shared" ref="B133:C133" si="41">D44</f>
        <v>25F8582172</v>
      </c>
      <c r="C133" s="69" t="str">
        <f t="shared" si="41"/>
        <v>DUE III</v>
      </c>
      <c r="D133" s="70">
        <f t="shared" si="1"/>
        <v>3.9861089929134667E-2</v>
      </c>
      <c r="E133" s="70">
        <f t="shared" si="2"/>
        <v>4.2668295536936192E-2</v>
      </c>
      <c r="F133" s="71" t="str">
        <f t="shared" si="3"/>
        <v>Canal</v>
      </c>
      <c r="G133" s="71" t="str">
        <f t="shared" si="4"/>
        <v>Residencial</v>
      </c>
      <c r="H133" s="71" t="str">
        <f t="shared" si="5"/>
        <v>PE</v>
      </c>
      <c r="I133" s="72">
        <f t="shared" si="6"/>
        <v>2030</v>
      </c>
      <c r="J133" s="71">
        <f ca="1">YEAR(VLOOKUP(B133,$D$10:N$44,11,FALSE)*365+TODAY())</f>
        <v>2028</v>
      </c>
      <c r="K133" s="71" t="str">
        <f t="shared" si="7"/>
        <v xml:space="preserve">CDI </v>
      </c>
      <c r="L133" s="70">
        <f t="shared" si="8"/>
        <v>0.66225165562913912</v>
      </c>
    </row>
    <row r="134" spans="1:20" s="22" customFormat="1"/>
    <row r="135" spans="1:20" s="22" customFormat="1"/>
    <row r="136" spans="1:20" s="22" customFormat="1" ht="34.5">
      <c r="B136" s="73" t="s">
        <v>53</v>
      </c>
      <c r="C136" s="73" t="s">
        <v>52</v>
      </c>
      <c r="D136" s="73" t="s">
        <v>51</v>
      </c>
      <c r="H136" s="73" t="s">
        <v>50</v>
      </c>
      <c r="K136" s="73" t="s">
        <v>49</v>
      </c>
      <c r="N136" s="73" t="s">
        <v>48</v>
      </c>
      <c r="Q136" s="73" t="s">
        <v>47</v>
      </c>
      <c r="R136" s="73"/>
      <c r="S136" s="73"/>
    </row>
    <row r="137" spans="1:20" s="22" customFormat="1" ht="17.25">
      <c r="B137" s="73">
        <v>2025</v>
      </c>
      <c r="C137" s="74">
        <f t="shared" ref="C137:C144" si="42">COUNTIF($I$99:$I$133,B137)/34</f>
        <v>0</v>
      </c>
      <c r="D137" s="74">
        <f t="shared" ref="D137:D145" ca="1" si="43">COUNTIF($J$99:$J$133,B137)/32</f>
        <v>0</v>
      </c>
      <c r="F137" s="22" t="e" vm="1">
        <v>#VALUE!</v>
      </c>
      <c r="G137" s="71" t="s">
        <v>46</v>
      </c>
      <c r="H137" s="74">
        <f>SUMIFS($E$99:$E$133,$H$99:$H$133,G137)</f>
        <v>0.23682088503181667</v>
      </c>
      <c r="J137" s="71" t="s">
        <v>45</v>
      </c>
      <c r="K137" s="74">
        <f>SUMIFS($E$99:$E$133,$K$99:$K$133,$J137)</f>
        <v>0.88408811700473955</v>
      </c>
      <c r="M137" s="71" t="s">
        <v>44</v>
      </c>
      <c r="N137" s="74">
        <f t="shared" ref="N137:N144" si="44">SUMIFS($E$99:$E$133,$G$99:$G$133,M137)</f>
        <v>0.25316872782171262</v>
      </c>
      <c r="P137" s="71" t="s">
        <v>43</v>
      </c>
      <c r="Q137" s="75">
        <f>SUMIFS($E$99:$E$133,$L$99:$L$133,"&gt;="&amp;S137,$L$99:$L$133,"&lt;="&amp;T137)</f>
        <v>0.17090019313915253</v>
      </c>
      <c r="R137" s="75"/>
      <c r="S137" s="75">
        <v>0</v>
      </c>
      <c r="T137" s="22">
        <v>0.25</v>
      </c>
    </row>
    <row r="138" spans="1:20" s="22" customFormat="1" ht="17.25">
      <c r="B138" s="72">
        <v>2026</v>
      </c>
      <c r="C138" s="74">
        <f t="shared" si="42"/>
        <v>8.8235294117647065E-2</v>
      </c>
      <c r="D138" s="74">
        <f t="shared" ca="1" si="43"/>
        <v>6.25E-2</v>
      </c>
      <c r="E138" s="71" t="s">
        <v>42</v>
      </c>
      <c r="F138" s="22" t="s">
        <v>41</v>
      </c>
      <c r="G138" s="71" t="s">
        <v>41</v>
      </c>
      <c r="H138" s="74">
        <f>SUMIFS($E$99:$E$133,$H$99:$H$133,E138)</f>
        <v>0.12459645365909974</v>
      </c>
      <c r="I138" s="71"/>
      <c r="J138" s="71" t="s">
        <v>40</v>
      </c>
      <c r="K138" s="74">
        <f>SUMIFS($E$99:$E$133,$K$99:$K$133,$J138)</f>
        <v>0.13215579254431983</v>
      </c>
      <c r="L138" s="71"/>
      <c r="M138" s="71" t="s">
        <v>33</v>
      </c>
      <c r="N138" s="74">
        <f t="shared" si="44"/>
        <v>0.21757761099981493</v>
      </c>
      <c r="O138" s="71"/>
      <c r="P138" s="71" t="s">
        <v>38</v>
      </c>
      <c r="Q138" s="75">
        <f>SUMIFS($E$99:$E$133,$L$99:$L$133,"&gt;="&amp;S138,$L$99:$L$133,"&lt;="&amp;T138)</f>
        <v>0.48844092564786429</v>
      </c>
      <c r="R138" s="75"/>
      <c r="S138" s="75">
        <v>0.25001000000000001</v>
      </c>
      <c r="T138" s="22">
        <v>0.5</v>
      </c>
    </row>
    <row r="139" spans="1:20" s="22" customFormat="1" ht="17.25">
      <c r="B139" s="72">
        <v>2027</v>
      </c>
      <c r="C139" s="74">
        <f t="shared" si="42"/>
        <v>5.8823529411764705E-2</v>
      </c>
      <c r="D139" s="74">
        <f t="shared" ca="1" si="43"/>
        <v>0.15625</v>
      </c>
      <c r="E139" s="71"/>
      <c r="F139" s="22" t="e" vm="2">
        <v>#VALUE!</v>
      </c>
      <c r="G139" s="71" t="s">
        <v>37</v>
      </c>
      <c r="H139" s="74">
        <f>SUMIFS($E$99:$E$133,$H$99:$H$133,G139)</f>
        <v>0.22583023425993942</v>
      </c>
      <c r="I139" s="71"/>
      <c r="J139" s="71" t="s">
        <v>217</v>
      </c>
      <c r="K139" s="74">
        <f>SUMIFS($E$99:$E$133,$K$99:$K$133,$J139)</f>
        <v>2.642438598787689E-2</v>
      </c>
      <c r="L139" s="71"/>
      <c r="M139" s="71" t="s">
        <v>39</v>
      </c>
      <c r="N139" s="74">
        <f t="shared" si="44"/>
        <v>0.20627635051271995</v>
      </c>
      <c r="O139" s="71"/>
      <c r="P139" s="71" t="s">
        <v>35</v>
      </c>
      <c r="Q139" s="75">
        <f>SUMIFS($E$99:$E$133,$L$99:$L$133,"&gt;="&amp;S139,$L$99:$L$133,"&lt;="&amp;T139)</f>
        <v>0.34532503284632798</v>
      </c>
      <c r="R139" s="75"/>
      <c r="S139" s="75">
        <v>0.50000999999999995</v>
      </c>
      <c r="T139" s="22">
        <v>0.75</v>
      </c>
    </row>
    <row r="140" spans="1:20" s="22" customFormat="1" ht="17.25">
      <c r="B140" s="72">
        <v>2028</v>
      </c>
      <c r="C140" s="74">
        <f t="shared" si="42"/>
        <v>0.11764705882352941</v>
      </c>
      <c r="D140" s="74">
        <f t="shared" ca="1" si="43"/>
        <v>0.4375</v>
      </c>
      <c r="E140" s="71"/>
      <c r="F140" s="22" t="e" vm="3">
        <v>#VALUE!</v>
      </c>
      <c r="G140" s="71" t="s">
        <v>34</v>
      </c>
      <c r="H140" s="74">
        <f>SUMIFS($E$99:$E$133,$H$99:$H$133,G140)</f>
        <v>8.7901927601412952E-2</v>
      </c>
      <c r="I140" s="71"/>
      <c r="J140" s="71"/>
      <c r="K140" s="71"/>
      <c r="L140" s="71"/>
      <c r="M140" s="71" t="s">
        <v>36</v>
      </c>
      <c r="N140" s="74">
        <f t="shared" si="44"/>
        <v>0.15357557603867153</v>
      </c>
      <c r="O140" s="71"/>
      <c r="P140" s="71" t="s">
        <v>32</v>
      </c>
      <c r="Q140" s="75">
        <f>SUMIFS($E$99:$E$133,$L$99:$L$133,"&gt;="&amp;S140,$L$99:$L$133,"&lt;="&amp;T140)</f>
        <v>3.8002143903591495E-2</v>
      </c>
      <c r="R140" s="75"/>
      <c r="S140" s="75">
        <v>0.75000100000000003</v>
      </c>
      <c r="T140" s="22">
        <v>1</v>
      </c>
    </row>
    <row r="141" spans="1:20" s="22" customFormat="1" ht="17.25">
      <c r="B141" s="72">
        <v>2029</v>
      </c>
      <c r="C141" s="74">
        <f t="shared" si="42"/>
        <v>0</v>
      </c>
      <c r="D141" s="74">
        <f t="shared" ca="1" si="43"/>
        <v>0.1875</v>
      </c>
      <c r="E141" s="71"/>
      <c r="F141" s="22" t="e" vm="4">
        <v>#VALUE!</v>
      </c>
      <c r="G141" s="71" t="s">
        <v>31</v>
      </c>
      <c r="H141" s="74">
        <f>SUMIFS($E$99:$E$133,$H$99:$H$133,G141)</f>
        <v>3.1719728985688159E-2</v>
      </c>
      <c r="I141" s="71"/>
      <c r="J141" s="71"/>
      <c r="K141" s="71"/>
      <c r="L141" s="71"/>
      <c r="M141" s="71" t="s">
        <v>30</v>
      </c>
      <c r="N141" s="74">
        <f t="shared" si="44"/>
        <v>9.2698782571390886E-2</v>
      </c>
      <c r="O141" s="71"/>
      <c r="P141" s="71"/>
      <c r="Q141" s="71"/>
      <c r="R141" s="71"/>
      <c r="S141" s="71"/>
    </row>
    <row r="142" spans="1:20" s="22" customFormat="1" ht="17.25">
      <c r="B142" s="72">
        <v>2030</v>
      </c>
      <c r="C142" s="74">
        <f t="shared" si="42"/>
        <v>5.8823529411764705E-2</v>
      </c>
      <c r="D142" s="74">
        <f t="shared" ca="1" si="43"/>
        <v>6.25E-2</v>
      </c>
      <c r="E142" s="71"/>
      <c r="F142" s="22" t="e" vm="5">
        <v>#VALUE!</v>
      </c>
      <c r="G142" s="71" t="s">
        <v>29</v>
      </c>
      <c r="H142" s="74">
        <f>SUMIFS($E$99:$E$133,$H$99:$H$133,G142)</f>
        <v>0.1093380324456858</v>
      </c>
      <c r="I142" s="71"/>
      <c r="J142" s="71"/>
      <c r="K142" s="71"/>
      <c r="L142" s="71"/>
      <c r="M142" s="71" t="s">
        <v>27</v>
      </c>
      <c r="N142" s="74">
        <f t="shared" si="44"/>
        <v>4.3316854719160219E-2</v>
      </c>
      <c r="O142" s="71"/>
      <c r="P142" s="71"/>
      <c r="Q142" s="71"/>
      <c r="R142" s="71"/>
      <c r="S142" s="71"/>
    </row>
    <row r="143" spans="1:20" s="22" customFormat="1" ht="17.25">
      <c r="B143" s="72">
        <v>2031</v>
      </c>
      <c r="C143" s="74">
        <f t="shared" si="42"/>
        <v>0.14705882352941177</v>
      </c>
      <c r="D143" s="74">
        <f t="shared" ca="1" si="43"/>
        <v>0.125</v>
      </c>
      <c r="E143" s="71"/>
      <c r="F143" s="22" t="e" vm="6">
        <v>#VALUE!</v>
      </c>
      <c r="G143" s="71" t="s">
        <v>28</v>
      </c>
      <c r="H143" s="74">
        <f>SUMIFS($E$99:$E$133,$H$99:$H$133,G143)</f>
        <v>6.8954505618147921E-2</v>
      </c>
      <c r="I143" s="71"/>
      <c r="J143" s="71"/>
      <c r="K143" s="71"/>
      <c r="L143" s="71"/>
      <c r="M143" s="71" t="s">
        <v>25</v>
      </c>
      <c r="N143" s="74">
        <f t="shared" si="44"/>
        <v>3.3530934610879463E-2</v>
      </c>
      <c r="O143" s="71"/>
      <c r="P143" s="71"/>
      <c r="Q143" s="71"/>
      <c r="R143" s="71"/>
      <c r="S143" s="71"/>
    </row>
    <row r="144" spans="1:20" s="22" customFormat="1" ht="17.25">
      <c r="B144" s="72">
        <v>2032</v>
      </c>
      <c r="C144" s="74">
        <f t="shared" si="42"/>
        <v>8.8235294117647065E-2</v>
      </c>
      <c r="D144" s="74">
        <f t="shared" ca="1" si="43"/>
        <v>6.25E-2</v>
      </c>
      <c r="E144" s="71"/>
      <c r="F144" s="22" t="e" vm="7">
        <v>#VALUE!</v>
      </c>
      <c r="G144" s="71" t="s">
        <v>26</v>
      </c>
      <c r="H144" s="74">
        <f>SUMIFS($E$99:$E$133,$H$99:$H$133,G144)</f>
        <v>3.0708475929691104E-2</v>
      </c>
      <c r="I144" s="71"/>
      <c r="J144" s="71"/>
      <c r="K144" s="71"/>
      <c r="L144" s="71"/>
      <c r="M144" s="71" t="s">
        <v>21</v>
      </c>
      <c r="N144" s="74">
        <f t="shared" si="44"/>
        <v>4.2523458262586696E-2</v>
      </c>
      <c r="O144" s="71"/>
      <c r="P144" s="71"/>
      <c r="Q144" s="71"/>
      <c r="R144" s="71"/>
      <c r="S144" s="71"/>
    </row>
    <row r="145" spans="1:19" s="22" customFormat="1" ht="17.25">
      <c r="B145" s="72" t="s">
        <v>24</v>
      </c>
      <c r="C145" s="74">
        <f>COUNTIF($I$99:$I$133,"&gt;"&amp;B144)/34</f>
        <v>0.47058823529411764</v>
      </c>
      <c r="D145" s="74">
        <f t="shared" ca="1" si="43"/>
        <v>0</v>
      </c>
      <c r="E145" s="71"/>
      <c r="F145" s="22" t="e" vm="8">
        <v>#VALUE!</v>
      </c>
      <c r="G145" s="71" t="s">
        <v>23</v>
      </c>
      <c r="H145" s="74">
        <f>SUMIFS($E$99:$E$133,$H$99:$H$133,G145)</f>
        <v>2.6157874323627678E-2</v>
      </c>
      <c r="I145" s="71"/>
      <c r="J145" s="71"/>
      <c r="K145" s="71"/>
      <c r="L145" s="71"/>
      <c r="M145" s="71"/>
      <c r="N145" s="74"/>
      <c r="O145" s="71"/>
      <c r="P145" s="71"/>
      <c r="Q145" s="71"/>
      <c r="R145" s="71"/>
      <c r="S145" s="71"/>
    </row>
    <row r="146" spans="1:19" s="22" customFormat="1" ht="17.25">
      <c r="B146" s="71"/>
      <c r="C146" s="71"/>
      <c r="D146" s="71"/>
      <c r="E146" s="71"/>
      <c r="F146" s="22" t="e" vm="9">
        <v>#VALUE!</v>
      </c>
      <c r="G146" s="71" t="s">
        <v>22</v>
      </c>
      <c r="H146" s="74">
        <f>SUMIFS($E$99:$E$133,$H$99:$H$133,G146)</f>
        <v>2.5942399612600822E-2</v>
      </c>
      <c r="I146" s="71"/>
      <c r="J146" s="71"/>
      <c r="K146" s="71"/>
      <c r="L146" s="71"/>
      <c r="O146" s="71"/>
      <c r="P146" s="71"/>
      <c r="Q146" s="71"/>
      <c r="R146" s="71"/>
      <c r="S146" s="71"/>
    </row>
    <row r="147" spans="1:19" s="22" customFormat="1" ht="17.25">
      <c r="B147" s="71"/>
      <c r="C147" s="71"/>
      <c r="D147" s="71"/>
      <c r="E147" s="71"/>
      <c r="F147" s="22" t="e" vm="10">
        <v>#VALUE!</v>
      </c>
      <c r="G147" s="71" t="s">
        <v>20</v>
      </c>
      <c r="H147" s="74">
        <f>SUMIFS($E$99:$E$133,$H$99:$H$133,G147)</f>
        <v>7.4697778069226062E-2</v>
      </c>
      <c r="I147" s="71"/>
      <c r="J147" s="71"/>
      <c r="K147" s="71"/>
      <c r="L147" s="71"/>
      <c r="O147" s="71"/>
      <c r="P147" s="71"/>
      <c r="Q147" s="71"/>
      <c r="R147" s="71"/>
      <c r="S147" s="71"/>
    </row>
    <row r="148" spans="1:19" s="22" customFormat="1" ht="16.5">
      <c r="B148" s="71"/>
      <c r="C148" s="71"/>
      <c r="D148" s="71"/>
      <c r="H148" s="71"/>
      <c r="I148" s="71"/>
      <c r="J148" s="71"/>
      <c r="K148" s="71"/>
      <c r="O148" s="71"/>
      <c r="P148" s="71"/>
    </row>
    <row r="149" spans="1:19" s="22" customFormat="1" ht="16.5">
      <c r="B149" s="71"/>
      <c r="C149" s="71"/>
      <c r="D149" s="71"/>
      <c r="E149" s="71"/>
      <c r="G149" s="71"/>
      <c r="H149" s="71"/>
      <c r="I149" s="71"/>
      <c r="J149" s="71"/>
      <c r="K149" s="71"/>
      <c r="M149" s="71"/>
      <c r="N149" s="71"/>
      <c r="O149" s="71"/>
      <c r="P149" s="71"/>
    </row>
    <row r="150" spans="1:19" s="49" customFormat="1" ht="16.5">
      <c r="B150" s="50"/>
      <c r="C150" s="50"/>
      <c r="D150" s="50"/>
      <c r="E150" s="50"/>
      <c r="G150" s="50"/>
      <c r="H150" s="50"/>
      <c r="I150" s="50"/>
      <c r="J150" s="50"/>
      <c r="K150" s="50"/>
      <c r="M150" s="50"/>
      <c r="N150" s="50"/>
      <c r="O150" s="50"/>
      <c r="P150" s="50"/>
    </row>
    <row r="151" spans="1:19" s="49" customFormat="1" ht="16.5">
      <c r="B151" s="50"/>
      <c r="C151" s="50"/>
      <c r="D151" s="50"/>
      <c r="E151" s="50"/>
      <c r="G151" s="50"/>
      <c r="H151" s="50"/>
      <c r="I151" s="50"/>
      <c r="J151" s="50"/>
      <c r="K151" s="50"/>
      <c r="M151" s="50"/>
      <c r="N151" s="50"/>
      <c r="O151" s="50"/>
      <c r="P151" s="50"/>
    </row>
    <row r="152" spans="1:19" s="49" customFormat="1" ht="16.5">
      <c r="B152" s="50"/>
      <c r="C152" s="50"/>
      <c r="D152" s="50"/>
      <c r="E152" s="50"/>
      <c r="G152" s="50"/>
      <c r="H152" s="50"/>
      <c r="I152" s="50"/>
      <c r="J152" s="50"/>
      <c r="K152" s="50"/>
      <c r="M152" s="50"/>
      <c r="N152" s="50"/>
      <c r="O152" s="50"/>
      <c r="P152" s="50"/>
    </row>
    <row r="153" spans="1:19" s="49" customFormat="1" ht="16.5">
      <c r="B153" s="50"/>
      <c r="C153" s="50"/>
      <c r="D153" s="50"/>
      <c r="E153" s="50"/>
      <c r="G153" s="50"/>
      <c r="H153" s="50"/>
      <c r="I153" s="50"/>
      <c r="J153" s="50"/>
      <c r="K153" s="50"/>
      <c r="M153" s="50"/>
      <c r="N153" s="50"/>
      <c r="O153" s="50"/>
      <c r="P153" s="50"/>
    </row>
    <row r="154" spans="1:19" s="49" customFormat="1" ht="16.5">
      <c r="B154" s="50"/>
      <c r="C154" s="50"/>
      <c r="D154" s="50"/>
      <c r="E154" s="50"/>
      <c r="G154" s="50"/>
      <c r="H154" s="50"/>
      <c r="I154" s="50"/>
      <c r="J154" s="50"/>
      <c r="K154" s="50"/>
      <c r="M154" s="50"/>
      <c r="N154" s="50"/>
      <c r="O154" s="50"/>
      <c r="P154" s="50"/>
    </row>
    <row r="155" spans="1:19" s="49" customFormat="1" ht="16.5">
      <c r="B155" s="50"/>
      <c r="C155" s="50"/>
      <c r="D155" s="50"/>
      <c r="E155" s="50"/>
      <c r="G155" s="50"/>
      <c r="H155" s="50"/>
      <c r="I155" s="50"/>
      <c r="J155" s="50"/>
      <c r="K155" s="50"/>
      <c r="M155" s="50"/>
      <c r="N155" s="50"/>
      <c r="O155" s="50"/>
      <c r="P155" s="50"/>
    </row>
    <row r="156" spans="1:19" s="49" customFormat="1" ht="16.5">
      <c r="B156" s="50"/>
      <c r="C156" s="50"/>
      <c r="D156" s="50"/>
      <c r="E156" s="50"/>
      <c r="G156" s="50"/>
      <c r="H156" s="50"/>
      <c r="I156" s="50"/>
      <c r="J156" s="50"/>
      <c r="K156" s="50"/>
      <c r="M156" s="50"/>
      <c r="N156" s="50"/>
      <c r="O156" s="50"/>
      <c r="P156" s="50"/>
    </row>
    <row r="157" spans="1:19" s="47" customFormat="1" ht="16.5">
      <c r="A157" s="49"/>
      <c r="B157" s="50"/>
      <c r="C157" s="50"/>
      <c r="D157" s="50"/>
      <c r="E157" s="50"/>
      <c r="F157" s="49"/>
      <c r="G157" s="50"/>
      <c r="H157" s="50"/>
      <c r="I157" s="50"/>
      <c r="J157" s="50"/>
      <c r="K157" s="50"/>
      <c r="L157" s="49"/>
      <c r="M157" s="50"/>
      <c r="N157" s="50"/>
      <c r="O157" s="50"/>
      <c r="P157" s="50"/>
      <c r="Q157" s="49"/>
      <c r="R157" s="49"/>
    </row>
    <row r="158" spans="1:19" s="47" customFormat="1" ht="16.5">
      <c r="A158" s="49"/>
      <c r="B158" s="50"/>
      <c r="C158" s="50"/>
      <c r="D158" s="50"/>
      <c r="E158" s="50"/>
      <c r="F158" s="49"/>
      <c r="G158" s="50"/>
      <c r="H158" s="50"/>
      <c r="I158" s="50"/>
      <c r="J158" s="50"/>
      <c r="K158" s="50"/>
      <c r="L158" s="49"/>
      <c r="M158" s="50"/>
      <c r="N158" s="50"/>
      <c r="O158" s="50"/>
      <c r="P158" s="50"/>
      <c r="Q158" s="49"/>
      <c r="R158" s="49"/>
    </row>
    <row r="159" spans="1:19" s="47" customFormat="1" ht="15" customHeight="1">
      <c r="A159" s="49"/>
      <c r="B159" s="49"/>
      <c r="C159" s="49"/>
      <c r="D159" s="49"/>
      <c r="E159" s="49"/>
      <c r="F159" s="49"/>
      <c r="G159" s="49"/>
      <c r="H159" s="49"/>
      <c r="I159" s="49"/>
      <c r="J159" s="49"/>
      <c r="K159" s="49"/>
      <c r="L159" s="49"/>
      <c r="M159" s="49"/>
      <c r="N159" s="49"/>
      <c r="O159" s="49"/>
      <c r="P159" s="49"/>
      <c r="Q159" s="49"/>
      <c r="R159" s="49"/>
    </row>
    <row r="160" spans="1:19" s="47" customFormat="1">
      <c r="A160" s="49"/>
      <c r="B160" s="49"/>
      <c r="C160" s="49"/>
      <c r="D160" s="49"/>
      <c r="E160" s="49"/>
      <c r="F160" s="49"/>
      <c r="G160" s="49"/>
      <c r="H160" s="49"/>
      <c r="I160" s="49"/>
      <c r="J160" s="49"/>
      <c r="K160" s="49"/>
      <c r="L160" s="49"/>
      <c r="M160" s="49"/>
      <c r="N160" s="49"/>
      <c r="O160" s="49"/>
      <c r="P160" s="49"/>
      <c r="Q160" s="49"/>
      <c r="R160" s="49"/>
    </row>
    <row r="161" spans="1:18" s="47" customFormat="1">
      <c r="A161" s="49"/>
      <c r="B161" s="49"/>
      <c r="C161" s="49"/>
      <c r="D161" s="49"/>
      <c r="E161" s="49"/>
      <c r="F161" s="49"/>
      <c r="G161" s="49"/>
      <c r="H161" s="49"/>
      <c r="I161" s="49"/>
      <c r="J161" s="49"/>
      <c r="K161" s="49"/>
      <c r="L161" s="49"/>
      <c r="M161" s="49"/>
      <c r="N161" s="49"/>
      <c r="O161" s="49"/>
      <c r="P161" s="49"/>
      <c r="Q161" s="49"/>
      <c r="R161" s="49"/>
    </row>
    <row r="162" spans="1:18" s="47" customFormat="1">
      <c r="A162" s="49"/>
      <c r="B162" s="49"/>
      <c r="C162" s="49"/>
      <c r="D162" s="49"/>
      <c r="E162" s="49"/>
      <c r="F162" s="49"/>
      <c r="G162" s="49"/>
      <c r="H162" s="49"/>
      <c r="I162" s="49"/>
      <c r="J162" s="49"/>
      <c r="K162" s="49"/>
      <c r="L162" s="49"/>
      <c r="M162" s="49"/>
      <c r="N162" s="49"/>
      <c r="O162" s="49"/>
      <c r="P162" s="49"/>
      <c r="Q162" s="49"/>
      <c r="R162" s="49"/>
    </row>
    <row r="163" spans="1:18">
      <c r="A163" s="49"/>
      <c r="B163" s="49"/>
      <c r="C163" s="49"/>
      <c r="D163" s="49"/>
      <c r="E163" s="49"/>
      <c r="F163" s="49"/>
      <c r="G163" s="49"/>
      <c r="H163" s="49"/>
      <c r="I163" s="49"/>
      <c r="J163" s="49"/>
      <c r="K163" s="49"/>
      <c r="L163" s="49"/>
      <c r="M163" s="49"/>
      <c r="N163" s="49"/>
      <c r="O163" s="49"/>
      <c r="P163" s="49"/>
      <c r="Q163" s="49"/>
      <c r="R163" s="49"/>
    </row>
    <row r="164" spans="1:18">
      <c r="A164" s="49"/>
      <c r="B164" s="49"/>
      <c r="C164" s="49"/>
      <c r="D164" s="49"/>
      <c r="E164" s="49"/>
      <c r="F164" s="49"/>
      <c r="G164" s="49"/>
      <c r="H164" s="49"/>
      <c r="I164" s="49"/>
      <c r="J164" s="49"/>
      <c r="K164" s="49"/>
      <c r="L164" s="49"/>
      <c r="M164" s="49"/>
      <c r="N164" s="49"/>
      <c r="O164" s="49"/>
      <c r="P164" s="49"/>
      <c r="Q164" s="49"/>
      <c r="R164" s="49"/>
    </row>
    <row r="165" spans="1:18">
      <c r="A165" s="49"/>
      <c r="B165" s="49"/>
      <c r="C165" s="49"/>
      <c r="D165" s="49"/>
      <c r="E165" s="49"/>
      <c r="F165" s="49"/>
      <c r="G165" s="49"/>
      <c r="H165" s="49"/>
      <c r="I165" s="49"/>
      <c r="J165" s="49"/>
      <c r="K165" s="49"/>
      <c r="L165" s="49"/>
      <c r="M165" s="49"/>
      <c r="N165" s="49"/>
      <c r="O165" s="49"/>
      <c r="P165" s="49"/>
      <c r="Q165" s="49"/>
      <c r="R165" s="49"/>
    </row>
    <row r="166" spans="1:18">
      <c r="A166" s="49"/>
      <c r="B166" s="49"/>
      <c r="C166" s="49"/>
      <c r="D166" s="49"/>
      <c r="E166" s="49"/>
      <c r="F166" s="49"/>
      <c r="G166" s="49"/>
      <c r="H166" s="49"/>
      <c r="I166" s="49"/>
      <c r="J166" s="49"/>
      <c r="K166" s="49"/>
      <c r="L166" s="49"/>
      <c r="M166" s="49"/>
      <c r="N166" s="49"/>
      <c r="O166" s="49"/>
      <c r="P166" s="49"/>
      <c r="Q166" s="49"/>
      <c r="R166" s="49"/>
    </row>
  </sheetData>
  <sortState xmlns:xlrd2="http://schemas.microsoft.com/office/spreadsheetml/2017/richdata2" ref="C10:S41">
    <sortCondition descending="1" ref="L10:L41"/>
  </sortState>
  <pageMargins left="0.7" right="0.7" top="0.75" bottom="0.75" header="0.3" footer="0.3"/>
  <pageSetup paperSize="9" orientation="portrait" r:id="rId1"/>
  <ignoredErrors>
    <ignoredError sqref="H13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1A5C3-D729-4347-ADE7-3A625F5538B2}">
  <dimension ref="A1:W103"/>
  <sheetViews>
    <sheetView showGridLines="0" tabSelected="1" zoomScale="90" zoomScaleNormal="90" workbookViewId="0">
      <selection activeCell="I4" sqref="I4"/>
    </sheetView>
  </sheetViews>
  <sheetFormatPr defaultColWidth="10.7109375" defaultRowHeight="17.45" customHeight="1"/>
  <cols>
    <col min="1" max="1" width="1.7109375" style="4" customWidth="1"/>
    <col min="2" max="4" width="10.7109375" style="4"/>
    <col min="5" max="5" width="13.5703125" style="4" customWidth="1"/>
    <col min="6" max="7" width="0.85546875" style="12" customWidth="1"/>
    <col min="8" max="19" width="16.42578125" style="4" bestFit="1" customWidth="1"/>
    <col min="20" max="20" width="1.28515625" style="12" customWidth="1"/>
    <col min="21" max="21" width="15.7109375" style="4" customWidth="1"/>
    <col min="22" max="22" width="10.7109375" style="4"/>
    <col min="23" max="23" width="12.140625" style="4" hidden="1" customWidth="1"/>
    <col min="24" max="24" width="13.7109375" style="4" bestFit="1" customWidth="1"/>
    <col min="25" max="16384" width="10.7109375" style="4"/>
  </cols>
  <sheetData>
    <row r="1" spans="1:23" s="1" customFormat="1" ht="15.75">
      <c r="A1" s="4"/>
      <c r="B1" s="10"/>
    </row>
    <row r="2" spans="1:23" s="1" customFormat="1" ht="15.75">
      <c r="A2" s="4"/>
      <c r="B2" s="10"/>
      <c r="H2" s="46"/>
    </row>
    <row r="3" spans="1:23" s="1" customFormat="1" ht="15.75">
      <c r="A3" s="4"/>
      <c r="B3" s="10"/>
      <c r="H3" s="46"/>
    </row>
    <row r="4" spans="1:23" s="1" customFormat="1" ht="15.75">
      <c r="A4" s="4"/>
      <c r="B4" s="10"/>
    </row>
    <row r="5" spans="1:23" s="1" customFormat="1" ht="20.25">
      <c r="A5" s="4"/>
      <c r="B5" s="11" t="s">
        <v>19</v>
      </c>
    </row>
    <row r="6" spans="1:23" s="1" customFormat="1" ht="15.75">
      <c r="A6" s="4"/>
      <c r="B6" s="10"/>
      <c r="H6" s="43"/>
      <c r="I6" s="43"/>
      <c r="J6" s="43"/>
      <c r="K6" s="43"/>
      <c r="L6" s="43"/>
      <c r="M6" s="43"/>
    </row>
    <row r="7" spans="1:23" s="1" customFormat="1" ht="18">
      <c r="A7" s="4"/>
      <c r="B7" s="7" t="s">
        <v>162</v>
      </c>
      <c r="H7" s="45"/>
      <c r="I7" s="45"/>
      <c r="J7" s="45"/>
      <c r="K7" s="45"/>
      <c r="L7" s="45"/>
      <c r="M7" s="45"/>
      <c r="N7" s="43"/>
      <c r="O7" s="43"/>
      <c r="P7" s="43"/>
      <c r="Q7" s="43"/>
      <c r="R7" s="43"/>
      <c r="S7" s="43"/>
    </row>
    <row r="8" spans="1:23" s="1" customFormat="1" ht="6.95" customHeight="1">
      <c r="A8" s="4"/>
      <c r="B8" s="7"/>
    </row>
    <row r="9" spans="1:23" ht="24.95" customHeight="1">
      <c r="B9" s="21" t="s">
        <v>212</v>
      </c>
      <c r="C9" s="20"/>
      <c r="D9" s="20"/>
      <c r="E9" s="20"/>
      <c r="F9" s="18"/>
      <c r="G9" s="18"/>
      <c r="H9" s="19">
        <v>45658</v>
      </c>
      <c r="I9" s="19">
        <f>EDATE(H9,1)</f>
        <v>45689</v>
      </c>
      <c r="J9" s="19">
        <f t="shared" ref="J9:S9" si="0">EDATE(I9,1)</f>
        <v>45717</v>
      </c>
      <c r="K9" s="19">
        <f t="shared" si="0"/>
        <v>45748</v>
      </c>
      <c r="L9" s="19">
        <f t="shared" si="0"/>
        <v>45778</v>
      </c>
      <c r="M9" s="19">
        <f t="shared" si="0"/>
        <v>45809</v>
      </c>
      <c r="N9" s="19">
        <f t="shared" si="0"/>
        <v>45839</v>
      </c>
      <c r="O9" s="19">
        <f t="shared" si="0"/>
        <v>45870</v>
      </c>
      <c r="P9" s="19">
        <f t="shared" si="0"/>
        <v>45901</v>
      </c>
      <c r="Q9" s="19">
        <f t="shared" si="0"/>
        <v>45931</v>
      </c>
      <c r="R9" s="19">
        <f t="shared" si="0"/>
        <v>45962</v>
      </c>
      <c r="S9" s="19">
        <f t="shared" si="0"/>
        <v>45992</v>
      </c>
      <c r="T9" s="18"/>
      <c r="U9" s="17">
        <v>2025</v>
      </c>
    </row>
    <row r="10" spans="1:23" ht="3" customHeight="1">
      <c r="B10" s="16"/>
      <c r="C10" s="15"/>
      <c r="D10" s="15"/>
      <c r="E10" s="15"/>
      <c r="H10" s="14"/>
      <c r="I10" s="14"/>
      <c r="J10" s="14"/>
      <c r="K10" s="14"/>
      <c r="L10" s="14"/>
      <c r="M10" s="14"/>
      <c r="N10" s="14"/>
      <c r="O10" s="14"/>
      <c r="P10" s="14"/>
      <c r="Q10" s="14"/>
      <c r="R10" s="14"/>
      <c r="S10" s="14"/>
      <c r="U10" s="14"/>
    </row>
    <row r="11" spans="1:23" ht="3" customHeight="1">
      <c r="B11" s="16"/>
      <c r="C11" s="15"/>
      <c r="D11" s="15"/>
      <c r="E11" s="15"/>
      <c r="H11" s="14"/>
      <c r="I11" s="14"/>
      <c r="J11" s="14"/>
      <c r="K11" s="14"/>
      <c r="L11" s="14"/>
      <c r="M11" s="14"/>
      <c r="N11" s="14"/>
      <c r="O11" s="14"/>
      <c r="P11" s="14"/>
      <c r="Q11" s="14"/>
      <c r="R11" s="14"/>
      <c r="S11" s="14"/>
      <c r="U11" s="14"/>
    </row>
    <row r="12" spans="1:23" ht="17.45" customHeight="1">
      <c r="B12" s="31" t="s">
        <v>152</v>
      </c>
      <c r="C12" s="31"/>
      <c r="D12" s="31"/>
      <c r="E12" s="31"/>
      <c r="H12" s="32">
        <f>SUM(H13:H15)</f>
        <v>1478675.0538315999</v>
      </c>
      <c r="I12" s="32">
        <f>SUM(I13:I15)</f>
        <v>1009456.9423129042</v>
      </c>
      <c r="J12" s="32">
        <f>SUM(J13:J15)</f>
        <v>818944</v>
      </c>
      <c r="K12" s="32">
        <f>SUM(K13:K15)</f>
        <v>1406724.9212311008</v>
      </c>
      <c r="L12" s="32">
        <v>1416840.6005079399</v>
      </c>
      <c r="M12" s="32">
        <v>1068237.0547545911</v>
      </c>
      <c r="N12" s="32">
        <v>1140241.4930844603</v>
      </c>
      <c r="O12" s="32"/>
      <c r="P12" s="32"/>
      <c r="Q12" s="32"/>
      <c r="R12" s="32"/>
      <c r="S12" s="32"/>
      <c r="U12" s="32">
        <f t="shared" ref="U12:U22" si="1">SUM(H12:S12)</f>
        <v>8339120.0657225978</v>
      </c>
      <c r="W12" s="41">
        <f>SUM(H12:U12)-SUM(H13:U15)</f>
        <v>389636.84000000544</v>
      </c>
    </row>
    <row r="13" spans="1:23" ht="17.45" customHeight="1">
      <c r="B13" s="33" t="s">
        <v>151</v>
      </c>
      <c r="C13" s="33"/>
      <c r="D13" s="33"/>
      <c r="E13" s="33"/>
      <c r="H13" s="34">
        <v>731370.52279074013</v>
      </c>
      <c r="I13" s="34">
        <v>780467.25999999978</v>
      </c>
      <c r="J13" s="34">
        <v>665470</v>
      </c>
      <c r="K13" s="34">
        <v>827886.10634920432</v>
      </c>
      <c r="L13" s="34">
        <v>773057.46</v>
      </c>
      <c r="M13" s="34">
        <v>815219.35200310266</v>
      </c>
      <c r="N13" s="34">
        <v>767005.17726400006</v>
      </c>
      <c r="O13" s="34"/>
      <c r="P13" s="34"/>
      <c r="Q13" s="34"/>
      <c r="R13" s="34"/>
      <c r="S13" s="34"/>
      <c r="U13" s="34">
        <f t="shared" si="1"/>
        <v>5360475.8784070471</v>
      </c>
      <c r="W13" s="41"/>
    </row>
    <row r="14" spans="1:23" ht="17.45" customHeight="1">
      <c r="B14" s="33" t="s">
        <v>150</v>
      </c>
      <c r="C14" s="33"/>
      <c r="D14" s="33"/>
      <c r="E14" s="33"/>
      <c r="H14" s="34">
        <v>329578.0810408598</v>
      </c>
      <c r="I14" s="34">
        <v>228989.68231290445</v>
      </c>
      <c r="J14" s="34">
        <v>153474</v>
      </c>
      <c r="K14" s="34">
        <v>439482.42336189735</v>
      </c>
      <c r="L14" s="34">
        <v>567057.80050794</v>
      </c>
      <c r="M14" s="34">
        <v>253017.7027514884</v>
      </c>
      <c r="N14" s="34">
        <v>247002.67745275999</v>
      </c>
      <c r="O14" s="34"/>
      <c r="P14" s="34"/>
      <c r="Q14" s="34"/>
      <c r="R14" s="34"/>
      <c r="S14" s="34"/>
      <c r="U14" s="34">
        <f t="shared" si="1"/>
        <v>2218602.3674278497</v>
      </c>
      <c r="W14" s="41"/>
    </row>
    <row r="15" spans="1:23" ht="17.45" customHeight="1">
      <c r="B15" s="33" t="s">
        <v>149</v>
      </c>
      <c r="C15" s="33"/>
      <c r="D15" s="33"/>
      <c r="E15" s="33"/>
      <c r="H15" s="34">
        <v>417726.45</v>
      </c>
      <c r="I15" s="34">
        <v>0</v>
      </c>
      <c r="J15" s="34">
        <v>0</v>
      </c>
      <c r="K15" s="34">
        <v>139356.39151999907</v>
      </c>
      <c r="L15" s="34">
        <v>0</v>
      </c>
      <c r="M15" s="34">
        <v>0</v>
      </c>
      <c r="N15" s="34">
        <v>8140.5583677000004</v>
      </c>
      <c r="O15" s="34"/>
      <c r="P15" s="34"/>
      <c r="Q15" s="34"/>
      <c r="R15" s="34"/>
      <c r="S15" s="34"/>
      <c r="U15" s="34">
        <f t="shared" si="1"/>
        <v>565223.39988769905</v>
      </c>
      <c r="W15" s="41"/>
    </row>
    <row r="16" spans="1:23" ht="17.45" customHeight="1">
      <c r="B16" s="31" t="s">
        <v>148</v>
      </c>
      <c r="C16" s="31"/>
      <c r="D16" s="31"/>
      <c r="E16" s="31"/>
      <c r="H16" s="32">
        <f>H17+H18</f>
        <v>89607.610000000015</v>
      </c>
      <c r="I16" s="32">
        <f>I17+I18</f>
        <v>102995.35</v>
      </c>
      <c r="J16" s="32">
        <f>J17+J18</f>
        <v>108755</v>
      </c>
      <c r="K16" s="32">
        <f>K17+K18</f>
        <v>73576.89</v>
      </c>
      <c r="L16" s="32">
        <v>76725.34</v>
      </c>
      <c r="M16" s="32">
        <v>97338.64</v>
      </c>
      <c r="N16" s="32">
        <v>118093.08</v>
      </c>
      <c r="O16" s="32"/>
      <c r="P16" s="32"/>
      <c r="Q16" s="32"/>
      <c r="R16" s="32"/>
      <c r="S16" s="32"/>
      <c r="U16" s="32">
        <f t="shared" si="1"/>
        <v>667091.91</v>
      </c>
      <c r="W16" s="41">
        <f>SUM(H16:U16)-SUM(H17:U18)</f>
        <v>0</v>
      </c>
    </row>
    <row r="17" spans="2:23" ht="17.45" customHeight="1">
      <c r="B17" s="33" t="s">
        <v>147</v>
      </c>
      <c r="C17" s="33"/>
      <c r="D17" s="33"/>
      <c r="E17" s="33"/>
      <c r="H17" s="34">
        <v>45000</v>
      </c>
      <c r="I17" s="34">
        <v>45000</v>
      </c>
      <c r="J17" s="34">
        <v>45000</v>
      </c>
      <c r="K17" s="34">
        <v>45000</v>
      </c>
      <c r="L17" s="34">
        <v>45000</v>
      </c>
      <c r="M17" s="34">
        <v>45000</v>
      </c>
      <c r="N17" s="34">
        <v>45000</v>
      </c>
      <c r="O17" s="34"/>
      <c r="P17" s="34"/>
      <c r="Q17" s="34"/>
      <c r="R17" s="34"/>
      <c r="S17" s="34"/>
      <c r="U17" s="34">
        <f t="shared" si="1"/>
        <v>315000</v>
      </c>
      <c r="W17" s="41"/>
    </row>
    <row r="18" spans="2:23" ht="17.45" customHeight="1">
      <c r="B18" s="33" t="s">
        <v>146</v>
      </c>
      <c r="C18" s="33"/>
      <c r="D18" s="33"/>
      <c r="E18" s="33"/>
      <c r="H18" s="34">
        <v>44607.610000000008</v>
      </c>
      <c r="I18" s="34">
        <v>57995.35</v>
      </c>
      <c r="J18" s="34">
        <v>63755</v>
      </c>
      <c r="K18" s="34">
        <v>28576.89</v>
      </c>
      <c r="L18" s="34">
        <v>31725.34</v>
      </c>
      <c r="M18" s="34">
        <v>52338.64</v>
      </c>
      <c r="N18" s="34">
        <v>73093.08</v>
      </c>
      <c r="O18" s="34"/>
      <c r="P18" s="34"/>
      <c r="Q18" s="34"/>
      <c r="R18" s="34"/>
      <c r="S18" s="34"/>
      <c r="U18" s="34">
        <f t="shared" si="1"/>
        <v>352091.91000000003</v>
      </c>
      <c r="W18" s="41"/>
    </row>
    <row r="19" spans="2:23" ht="17.45" customHeight="1">
      <c r="B19" s="31" t="s">
        <v>145</v>
      </c>
      <c r="C19" s="31"/>
      <c r="D19" s="31"/>
      <c r="E19" s="31"/>
      <c r="H19" s="32">
        <f>H20</f>
        <v>-99624.58</v>
      </c>
      <c r="I19" s="32">
        <f>I20</f>
        <v>-152097.11569999999</v>
      </c>
      <c r="J19" s="32">
        <f>J20</f>
        <v>-112495</v>
      </c>
      <c r="K19" s="32">
        <f>K20</f>
        <v>-117155.07053333</v>
      </c>
      <c r="L19" s="32">
        <v>-126332.57963332999</v>
      </c>
      <c r="M19" s="32">
        <v>-114679.22833333</v>
      </c>
      <c r="N19" s="32">
        <v>-133840.38833332999</v>
      </c>
      <c r="O19" s="32"/>
      <c r="P19" s="32"/>
      <c r="Q19" s="32"/>
      <c r="R19" s="32"/>
      <c r="S19" s="32"/>
      <c r="U19" s="32">
        <f t="shared" si="1"/>
        <v>-856223.96253332007</v>
      </c>
      <c r="W19" s="41">
        <f>SUM(H19:U19)-SUM(H20:U20)</f>
        <v>0</v>
      </c>
    </row>
    <row r="20" spans="2:23" ht="17.45" customHeight="1">
      <c r="B20" s="33" t="s">
        <v>144</v>
      </c>
      <c r="C20" s="33"/>
      <c r="D20" s="33"/>
      <c r="E20" s="33"/>
      <c r="H20" s="34">
        <v>-99624.58</v>
      </c>
      <c r="I20" s="34">
        <v>-152097.11569999999</v>
      </c>
      <c r="J20" s="34">
        <v>-112495</v>
      </c>
      <c r="K20" s="34">
        <v>-117155.07053333</v>
      </c>
      <c r="L20" s="34">
        <v>-126332.57963332999</v>
      </c>
      <c r="M20" s="34">
        <v>-114679.22833333</v>
      </c>
      <c r="N20" s="34">
        <v>-133840.38833332999</v>
      </c>
      <c r="O20" s="34"/>
      <c r="P20" s="34"/>
      <c r="Q20" s="34"/>
      <c r="R20" s="34"/>
      <c r="S20" s="34"/>
      <c r="U20" s="34">
        <f t="shared" si="1"/>
        <v>-856223.96253332007</v>
      </c>
      <c r="W20" s="41"/>
    </row>
    <row r="21" spans="2:23" ht="17.45" customHeight="1">
      <c r="B21" s="31" t="s">
        <v>143</v>
      </c>
      <c r="C21" s="31"/>
      <c r="D21" s="31"/>
      <c r="E21" s="31"/>
      <c r="H21" s="32">
        <f>H12+H16+H19</f>
        <v>1468658.0838315999</v>
      </c>
      <c r="I21" s="32">
        <f>I12+I16+I19</f>
        <v>960355.1766129043</v>
      </c>
      <c r="J21" s="32">
        <f>J12+J16+J19</f>
        <v>815204</v>
      </c>
      <c r="K21" s="32">
        <f>K12+K16+K19</f>
        <v>1363146.7406977706</v>
      </c>
      <c r="L21" s="32">
        <v>1290508.0208746099</v>
      </c>
      <c r="M21" s="32">
        <v>1050896.466421261</v>
      </c>
      <c r="N21" s="32">
        <v>1006401.1047511303</v>
      </c>
      <c r="O21" s="32"/>
      <c r="P21" s="32"/>
      <c r="Q21" s="32"/>
      <c r="R21" s="32"/>
      <c r="S21" s="32"/>
      <c r="U21" s="32">
        <f t="shared" si="1"/>
        <v>7955169.5931892768</v>
      </c>
      <c r="W21" s="41">
        <f>SUM(H12:U12,H16:U16,H19:U19)-SUM(H21:U21)</f>
        <v>389636.84000000171</v>
      </c>
    </row>
    <row r="22" spans="2:23" ht="17.45" customHeight="1">
      <c r="B22" s="35" t="s">
        <v>142</v>
      </c>
      <c r="C22" s="35"/>
      <c r="D22" s="35"/>
      <c r="E22" s="35"/>
      <c r="H22" s="36">
        <v>1090931.5</v>
      </c>
      <c r="I22" s="36">
        <v>1090931.5</v>
      </c>
      <c r="J22" s="36">
        <v>1090931.5</v>
      </c>
      <c r="K22" s="36">
        <v>1090931.5</v>
      </c>
      <c r="L22" s="36">
        <v>1090931.5</v>
      </c>
      <c r="M22" s="36">
        <v>1152263.1523242192</v>
      </c>
      <c r="N22" s="36">
        <v>1090931.5</v>
      </c>
      <c r="O22" s="36"/>
      <c r="P22" s="36"/>
      <c r="Q22" s="36"/>
      <c r="R22" s="36"/>
      <c r="S22" s="36"/>
      <c r="U22" s="36">
        <f t="shared" si="1"/>
        <v>7697852.1523242192</v>
      </c>
    </row>
    <row r="23" spans="2:23" ht="17.45" customHeight="1">
      <c r="B23" s="37" t="s">
        <v>141</v>
      </c>
      <c r="C23" s="37"/>
      <c r="D23" s="37"/>
      <c r="E23" s="37"/>
      <c r="H23" s="38">
        <v>0.13462422561192888</v>
      </c>
      <c r="I23" s="38">
        <v>8.8030749557869062E-2</v>
      </c>
      <c r="J23" s="38">
        <v>7.4725473930831787E-2</v>
      </c>
      <c r="K23" s="38">
        <v>0.12495255116364049</v>
      </c>
      <c r="L23" s="38">
        <v>0.11829413862140839</v>
      </c>
      <c r="M23" s="38">
        <v>9.6330197305812604E-2</v>
      </c>
      <c r="N23" s="38">
        <v>9.2251539601810956E-2</v>
      </c>
      <c r="O23" s="38"/>
      <c r="P23" s="38"/>
      <c r="Q23" s="38"/>
      <c r="R23" s="38"/>
      <c r="S23" s="38"/>
      <c r="U23" s="38">
        <f>AVERAGE(H23:S23)</f>
        <v>0.10417269654190031</v>
      </c>
    </row>
    <row r="24" spans="2:23" ht="17.45" customHeight="1">
      <c r="B24" s="37" t="s">
        <v>140</v>
      </c>
      <c r="C24" s="37"/>
      <c r="D24" s="37"/>
      <c r="E24" s="37"/>
      <c r="H24" s="38">
        <v>0.1</v>
      </c>
      <c r="I24" s="38">
        <v>0.1</v>
      </c>
      <c r="J24" s="38">
        <v>0.1</v>
      </c>
      <c r="K24" s="38">
        <v>0.1</v>
      </c>
      <c r="L24" s="38">
        <v>0.1</v>
      </c>
      <c r="M24" s="38">
        <v>0.105</v>
      </c>
      <c r="N24" s="38">
        <v>0.1</v>
      </c>
      <c r="O24" s="38"/>
      <c r="P24" s="38"/>
      <c r="Q24" s="38"/>
      <c r="R24" s="38"/>
      <c r="S24" s="38"/>
      <c r="U24" s="38">
        <f>AVERAGE(H24:S24)</f>
        <v>0.10071428571428571</v>
      </c>
    </row>
    <row r="25" spans="2:23" ht="17.45" customHeight="1">
      <c r="B25" s="37" t="s">
        <v>139</v>
      </c>
      <c r="C25" s="37"/>
      <c r="D25" s="37"/>
      <c r="E25" s="37"/>
      <c r="H25" s="40">
        <v>9.35</v>
      </c>
      <c r="I25" s="39">
        <v>9.3178646000000001</v>
      </c>
      <c r="J25" s="39">
        <v>9.3393543999999995</v>
      </c>
      <c r="K25" s="39">
        <v>9.5503274999999999</v>
      </c>
      <c r="L25" s="39">
        <v>9.5767015999999998</v>
      </c>
      <c r="M25" s="39">
        <v>9.5892695000000003</v>
      </c>
      <c r="N25" s="39">
        <v>9.4885494000000001</v>
      </c>
      <c r="O25" s="39"/>
      <c r="P25" s="39"/>
      <c r="Q25" s="39"/>
      <c r="R25" s="39"/>
      <c r="S25" s="39"/>
      <c r="U25" s="39" t="s">
        <v>137</v>
      </c>
    </row>
    <row r="26" spans="2:23" ht="17.45" customHeight="1">
      <c r="B26" s="37" t="s">
        <v>138</v>
      </c>
      <c r="C26" s="37"/>
      <c r="D26" s="37"/>
      <c r="E26" s="37"/>
      <c r="H26" s="39">
        <v>7.43</v>
      </c>
      <c r="I26" s="39">
        <v>7.62</v>
      </c>
      <c r="J26" s="39">
        <v>7.91</v>
      </c>
      <c r="K26" s="39">
        <v>7.81</v>
      </c>
      <c r="L26" s="39">
        <v>7.8</v>
      </c>
      <c r="M26" s="39">
        <v>7.88</v>
      </c>
      <c r="N26" s="39">
        <v>7.84</v>
      </c>
      <c r="O26" s="39"/>
      <c r="P26" s="39"/>
      <c r="Q26" s="39"/>
      <c r="R26" s="39"/>
      <c r="S26" s="39"/>
      <c r="U26" s="39" t="s">
        <v>137</v>
      </c>
    </row>
    <row r="27" spans="2:23" ht="17.45" customHeight="1">
      <c r="I27" s="13"/>
      <c r="J27" s="13"/>
      <c r="K27" s="13"/>
      <c r="L27" s="13"/>
      <c r="M27" s="13"/>
      <c r="N27" s="13"/>
      <c r="O27" s="13"/>
      <c r="P27" s="13"/>
      <c r="Q27" s="13"/>
      <c r="R27" s="13"/>
      <c r="S27" s="13"/>
    </row>
    <row r="28" spans="2:23" ht="24.95" customHeight="1">
      <c r="B28" s="21" t="s">
        <v>156</v>
      </c>
      <c r="C28" s="20"/>
      <c r="D28" s="20"/>
      <c r="E28" s="20"/>
      <c r="F28" s="18"/>
      <c r="G28" s="18"/>
      <c r="H28" s="19">
        <v>45292</v>
      </c>
      <c r="I28" s="19">
        <v>45323</v>
      </c>
      <c r="J28" s="19">
        <v>45352</v>
      </c>
      <c r="K28" s="19">
        <v>45383</v>
      </c>
      <c r="L28" s="19">
        <v>45413</v>
      </c>
      <c r="M28" s="19">
        <v>45444</v>
      </c>
      <c r="N28" s="19">
        <v>45474</v>
      </c>
      <c r="O28" s="19">
        <v>45505</v>
      </c>
      <c r="P28" s="19">
        <v>45536</v>
      </c>
      <c r="Q28" s="19">
        <v>45566</v>
      </c>
      <c r="R28" s="19">
        <v>45597</v>
      </c>
      <c r="S28" s="19">
        <v>45627</v>
      </c>
      <c r="T28" s="18"/>
      <c r="U28" s="17">
        <v>2024</v>
      </c>
    </row>
    <row r="29" spans="2:23" ht="3" customHeight="1">
      <c r="B29" s="16"/>
      <c r="C29" s="15"/>
      <c r="D29" s="15"/>
      <c r="E29" s="15"/>
      <c r="H29" s="14"/>
      <c r="I29" s="14"/>
      <c r="J29" s="14"/>
      <c r="K29" s="14"/>
      <c r="L29" s="14"/>
      <c r="M29" s="14"/>
      <c r="N29" s="14"/>
      <c r="O29" s="14"/>
      <c r="P29" s="14"/>
      <c r="Q29" s="14"/>
      <c r="R29" s="14"/>
      <c r="S29" s="14"/>
      <c r="U29" s="14"/>
    </row>
    <row r="30" spans="2:23" ht="3" customHeight="1">
      <c r="B30" s="16"/>
      <c r="C30" s="15"/>
      <c r="D30" s="15"/>
      <c r="E30" s="15"/>
      <c r="H30" s="14"/>
      <c r="I30" s="14"/>
      <c r="J30" s="14"/>
      <c r="K30" s="14"/>
      <c r="L30" s="14"/>
      <c r="M30" s="14"/>
      <c r="N30" s="14"/>
      <c r="O30" s="14"/>
      <c r="P30" s="14"/>
      <c r="Q30" s="14"/>
      <c r="R30" s="14"/>
      <c r="S30" s="14"/>
      <c r="U30" s="14"/>
    </row>
    <row r="31" spans="2:23" ht="17.45" customHeight="1">
      <c r="B31" s="31" t="s">
        <v>152</v>
      </c>
      <c r="C31" s="31"/>
      <c r="D31" s="31"/>
      <c r="E31" s="31"/>
      <c r="H31" s="32">
        <v>750617.23578025191</v>
      </c>
      <c r="I31" s="32">
        <v>906834.51998557802</v>
      </c>
      <c r="J31" s="32">
        <v>1052452.4637925965</v>
      </c>
      <c r="K31" s="32">
        <v>1099041.4006728292</v>
      </c>
      <c r="L31" s="32">
        <v>1115247.1202586349</v>
      </c>
      <c r="M31" s="32">
        <v>1023328.2942167517</v>
      </c>
      <c r="N31" s="32">
        <v>1186108.8999131117</v>
      </c>
      <c r="O31" s="32">
        <v>922162.25903376297</v>
      </c>
      <c r="P31" s="32">
        <v>1132850.1142714941</v>
      </c>
      <c r="Q31" s="32">
        <f>SUM(Q32:Q34)</f>
        <v>1119445.7465332795</v>
      </c>
      <c r="R31" s="32">
        <f>SUM(R32:R34)</f>
        <v>1116114.6142864453</v>
      </c>
      <c r="S31" s="32">
        <f>SUM(S32:S34)</f>
        <v>978406.67085603648</v>
      </c>
      <c r="U31" s="32">
        <f t="shared" ref="U31:U41" si="2">SUM(H31:S31)</f>
        <v>12402609.339600774</v>
      </c>
      <c r="W31" s="41">
        <f>SUM(H31:U31)-SUM(H32:U34)</f>
        <v>0</v>
      </c>
    </row>
    <row r="32" spans="2:23" ht="17.45" customHeight="1">
      <c r="B32" s="33" t="s">
        <v>151</v>
      </c>
      <c r="C32" s="33"/>
      <c r="D32" s="33"/>
      <c r="E32" s="33"/>
      <c r="H32" s="34">
        <v>590981.73431951797</v>
      </c>
      <c r="I32" s="34">
        <v>705409.85056248261</v>
      </c>
      <c r="J32" s="34">
        <v>699818.11789395357</v>
      </c>
      <c r="K32" s="34">
        <v>733238.05549840501</v>
      </c>
      <c r="L32" s="34">
        <v>679391.04436011706</v>
      </c>
      <c r="M32" s="34">
        <v>859443.99955374876</v>
      </c>
      <c r="N32" s="34">
        <v>705672.44649650285</v>
      </c>
      <c r="O32" s="34">
        <v>736869.16532945784</v>
      </c>
      <c r="P32" s="34">
        <v>726889.88288502709</v>
      </c>
      <c r="Q32" s="34">
        <v>698105.50193024555</v>
      </c>
      <c r="R32" s="34">
        <v>717226.64938469045</v>
      </c>
      <c r="S32" s="34">
        <v>703743.06379442627</v>
      </c>
      <c r="U32" s="34">
        <f t="shared" si="2"/>
        <v>8556789.5120085739</v>
      </c>
      <c r="W32" s="41"/>
    </row>
    <row r="33" spans="2:23" ht="17.45" customHeight="1">
      <c r="B33" s="33" t="s">
        <v>150</v>
      </c>
      <c r="C33" s="33"/>
      <c r="D33" s="33"/>
      <c r="E33" s="33"/>
      <c r="H33" s="34">
        <v>159635.501460734</v>
      </c>
      <c r="I33" s="34">
        <v>201424.66942309542</v>
      </c>
      <c r="J33" s="34">
        <v>226064.12589864284</v>
      </c>
      <c r="K33" s="34">
        <v>221297.20517442413</v>
      </c>
      <c r="L33" s="34">
        <v>152759.955898518</v>
      </c>
      <c r="M33" s="34">
        <v>158773.00466300317</v>
      </c>
      <c r="N33" s="34">
        <v>172464.58341660869</v>
      </c>
      <c r="O33" s="34">
        <v>132385.49370430521</v>
      </c>
      <c r="P33" s="34">
        <v>120548.55138646708</v>
      </c>
      <c r="Q33" s="34">
        <v>167265.15460303385</v>
      </c>
      <c r="R33" s="34">
        <v>320563.61490175489</v>
      </c>
      <c r="S33" s="34">
        <v>274663.60706161027</v>
      </c>
      <c r="U33" s="34">
        <f t="shared" si="2"/>
        <v>2307845.4675921975</v>
      </c>
      <c r="W33" s="41"/>
    </row>
    <row r="34" spans="2:23" ht="17.45" customHeight="1">
      <c r="B34" s="33" t="s">
        <v>149</v>
      </c>
      <c r="C34" s="33"/>
      <c r="D34" s="33"/>
      <c r="E34" s="33"/>
      <c r="H34" s="34"/>
      <c r="I34" s="34"/>
      <c r="J34" s="34">
        <v>126570.22</v>
      </c>
      <c r="K34" s="34">
        <v>144506.14000000001</v>
      </c>
      <c r="L34" s="34">
        <v>283096.12</v>
      </c>
      <c r="M34" s="34">
        <v>5111.2899999997999</v>
      </c>
      <c r="N34" s="34">
        <v>307971.87</v>
      </c>
      <c r="O34" s="34">
        <v>52907.6</v>
      </c>
      <c r="P34" s="34">
        <v>285411.68</v>
      </c>
      <c r="Q34" s="34">
        <v>254075.09</v>
      </c>
      <c r="R34" s="34">
        <v>78324.350000000006</v>
      </c>
      <c r="S34" s="34">
        <v>0</v>
      </c>
      <c r="U34" s="34">
        <f t="shared" si="2"/>
        <v>1537974.3599999999</v>
      </c>
      <c r="W34" s="41"/>
    </row>
    <row r="35" spans="2:23" ht="17.45" customHeight="1">
      <c r="B35" s="31" t="s">
        <v>148</v>
      </c>
      <c r="C35" s="31"/>
      <c r="D35" s="31"/>
      <c r="E35" s="31"/>
      <c r="H35" s="32">
        <v>176085.80000000002</v>
      </c>
      <c r="I35" s="32">
        <v>83912.43</v>
      </c>
      <c r="J35" s="32">
        <v>87479.84</v>
      </c>
      <c r="K35" s="32">
        <v>88497.640000000014</v>
      </c>
      <c r="L35" s="32">
        <v>75473.75</v>
      </c>
      <c r="M35" s="32">
        <v>72088.750000000015</v>
      </c>
      <c r="N35" s="32">
        <v>111946.6</v>
      </c>
      <c r="O35" s="32">
        <v>100602.63</v>
      </c>
      <c r="P35" s="32">
        <v>99134.239999999991</v>
      </c>
      <c r="Q35" s="32">
        <f>SUM(Q36:Q37)</f>
        <v>99929.279999999999</v>
      </c>
      <c r="R35" s="32">
        <f>SUM(R36:R37)</f>
        <v>95318.1</v>
      </c>
      <c r="S35" s="32">
        <f>SUM(S36:S37)</f>
        <v>88892.09</v>
      </c>
      <c r="U35" s="32">
        <f t="shared" si="2"/>
        <v>1179361.1500000001</v>
      </c>
      <c r="W35" s="41">
        <f>SUM(H35:U35)-SUM(H36:U37)</f>
        <v>0</v>
      </c>
    </row>
    <row r="36" spans="2:23" ht="17.45" customHeight="1">
      <c r="B36" s="33" t="s">
        <v>147</v>
      </c>
      <c r="C36" s="33"/>
      <c r="D36" s="33"/>
      <c r="E36" s="33"/>
      <c r="H36" s="34">
        <v>52085.26</v>
      </c>
      <c r="I36" s="34">
        <v>40000</v>
      </c>
      <c r="J36" s="34">
        <v>40000</v>
      </c>
      <c r="K36" s="34">
        <v>40000</v>
      </c>
      <c r="L36" s="34">
        <v>50000</v>
      </c>
      <c r="M36" s="34">
        <v>50000</v>
      </c>
      <c r="N36" s="34">
        <v>50000</v>
      </c>
      <c r="O36" s="34">
        <v>50000</v>
      </c>
      <c r="P36" s="34">
        <v>45000</v>
      </c>
      <c r="Q36" s="34">
        <v>40000</v>
      </c>
      <c r="R36" s="34">
        <v>42500</v>
      </c>
      <c r="S36" s="34">
        <v>45000</v>
      </c>
      <c r="U36" s="34">
        <f t="shared" si="2"/>
        <v>544585.26</v>
      </c>
      <c r="W36" s="41"/>
    </row>
    <row r="37" spans="2:23" ht="17.45" customHeight="1">
      <c r="B37" s="33" t="s">
        <v>146</v>
      </c>
      <c r="C37" s="33"/>
      <c r="D37" s="33"/>
      <c r="E37" s="33"/>
      <c r="H37" s="34">
        <v>124000.54000000001</v>
      </c>
      <c r="I37" s="34">
        <v>43912.429999999993</v>
      </c>
      <c r="J37" s="34">
        <v>47479.839999999997</v>
      </c>
      <c r="K37" s="34">
        <v>48497.640000000007</v>
      </c>
      <c r="L37" s="34">
        <v>25473.750000000004</v>
      </c>
      <c r="M37" s="34">
        <v>22088.750000000011</v>
      </c>
      <c r="N37" s="34">
        <v>61946.6</v>
      </c>
      <c r="O37" s="34">
        <v>50602.630000000005</v>
      </c>
      <c r="P37" s="34">
        <v>54134.239999999991</v>
      </c>
      <c r="Q37" s="34">
        <v>59929.280000000006</v>
      </c>
      <c r="R37" s="34">
        <v>52818.100000000006</v>
      </c>
      <c r="S37" s="34">
        <v>43892.09</v>
      </c>
      <c r="U37" s="34">
        <f t="shared" si="2"/>
        <v>634775.8899999999</v>
      </c>
      <c r="W37" s="41"/>
    </row>
    <row r="38" spans="2:23" ht="17.45" customHeight="1">
      <c r="B38" s="31" t="s">
        <v>145</v>
      </c>
      <c r="C38" s="31"/>
      <c r="D38" s="31"/>
      <c r="E38" s="31"/>
      <c r="H38" s="32">
        <v>-109493.70000000001</v>
      </c>
      <c r="I38" s="32">
        <v>-117338.84</v>
      </c>
      <c r="J38" s="32">
        <v>-101050.09999999992</v>
      </c>
      <c r="K38" s="32">
        <v>-115951.64</v>
      </c>
      <c r="L38" s="32">
        <v>-122945.78</v>
      </c>
      <c r="M38" s="32">
        <v>-127910.15000000001</v>
      </c>
      <c r="N38" s="32">
        <v>-115204.24</v>
      </c>
      <c r="O38" s="32">
        <v>-117152.11</v>
      </c>
      <c r="P38" s="32">
        <v>-143260.14000000001</v>
      </c>
      <c r="Q38" s="32">
        <f>Q39</f>
        <v>-115952.68</v>
      </c>
      <c r="R38" s="32">
        <f>R39</f>
        <v>-123748.15</v>
      </c>
      <c r="S38" s="32">
        <f>S39</f>
        <v>-113373.04</v>
      </c>
      <c r="U38" s="32">
        <f t="shared" si="2"/>
        <v>-1423380.5699999998</v>
      </c>
      <c r="W38" s="41">
        <f>SUM(H38:U38)-SUM(H39:U39)</f>
        <v>0</v>
      </c>
    </row>
    <row r="39" spans="2:23" ht="17.45" customHeight="1">
      <c r="B39" s="33" t="s">
        <v>144</v>
      </c>
      <c r="C39" s="33"/>
      <c r="D39" s="33"/>
      <c r="E39" s="33"/>
      <c r="H39" s="34">
        <v>-109493.70000000001</v>
      </c>
      <c r="I39" s="34">
        <v>-117338.84</v>
      </c>
      <c r="J39" s="34">
        <v>-101050.09999999992</v>
      </c>
      <c r="K39" s="34">
        <v>-115951.64</v>
      </c>
      <c r="L39" s="34">
        <v>-122945.78</v>
      </c>
      <c r="M39" s="34">
        <v>-127910.15000000001</v>
      </c>
      <c r="N39" s="34">
        <v>-115204.24</v>
      </c>
      <c r="O39" s="34">
        <v>-117152.11</v>
      </c>
      <c r="P39" s="34">
        <v>-143260.14000000001</v>
      </c>
      <c r="Q39" s="34">
        <v>-115952.68</v>
      </c>
      <c r="R39" s="34">
        <v>-123748.15</v>
      </c>
      <c r="S39" s="34">
        <v>-113373.04</v>
      </c>
      <c r="U39" s="34">
        <f t="shared" si="2"/>
        <v>-1423380.5699999998</v>
      </c>
      <c r="W39" s="41"/>
    </row>
    <row r="40" spans="2:23" ht="17.45" customHeight="1">
      <c r="B40" s="31" t="s">
        <v>143</v>
      </c>
      <c r="C40" s="31"/>
      <c r="D40" s="31"/>
      <c r="E40" s="31"/>
      <c r="H40" s="32">
        <v>817209.335780252</v>
      </c>
      <c r="I40" s="32">
        <v>873408.10998557799</v>
      </c>
      <c r="J40" s="32">
        <v>1038882.2037925967</v>
      </c>
      <c r="K40" s="32">
        <v>1071587.4006728295</v>
      </c>
      <c r="L40" s="32">
        <v>1067775.09025863</v>
      </c>
      <c r="M40" s="32">
        <v>967506.8942167518</v>
      </c>
      <c r="N40" s="32">
        <v>1182851.2599131118</v>
      </c>
      <c r="O40" s="32">
        <v>905612.77903376298</v>
      </c>
      <c r="P40" s="32">
        <v>1088724.2142714942</v>
      </c>
      <c r="Q40" s="32">
        <f>SUM(Q31,Q35,Q38)</f>
        <v>1103422.3465332796</v>
      </c>
      <c r="R40" s="32">
        <f>SUM(R31,R35,R38)</f>
        <v>1087684.5642864455</v>
      </c>
      <c r="S40" s="32">
        <f>SUM(S31,S35,S38)</f>
        <v>953925.72085603653</v>
      </c>
      <c r="U40" s="32">
        <f t="shared" si="2"/>
        <v>12158589.919600772</v>
      </c>
      <c r="W40" s="41">
        <f>SUM(H31:U31,H35:U35,H38:U38)-SUM(H40:U40)</f>
        <v>0</v>
      </c>
    </row>
    <row r="41" spans="2:23" ht="17.45" customHeight="1">
      <c r="B41" s="35" t="s">
        <v>142</v>
      </c>
      <c r="C41" s="35"/>
      <c r="D41" s="35"/>
      <c r="E41" s="35"/>
      <c r="H41" s="36">
        <v>818198.625</v>
      </c>
      <c r="I41" s="36">
        <v>882534.01925635</v>
      </c>
      <c r="J41" s="36">
        <v>1038882.2</v>
      </c>
      <c r="K41" s="36">
        <v>1036384.925</v>
      </c>
      <c r="L41" s="36">
        <v>1036384.925</v>
      </c>
      <c r="M41" s="36">
        <v>1034099.53826761</v>
      </c>
      <c r="N41" s="36">
        <v>1038670.31173239</v>
      </c>
      <c r="O41" s="36">
        <v>1036384.925</v>
      </c>
      <c r="P41" s="36">
        <v>1036384.925</v>
      </c>
      <c r="Q41" s="36">
        <v>1036384.925</v>
      </c>
      <c r="R41" s="36">
        <v>1036384.925</v>
      </c>
      <c r="S41" s="36">
        <v>1036384.925</v>
      </c>
      <c r="U41" s="36">
        <f t="shared" si="2"/>
        <v>12067079.169256352</v>
      </c>
    </row>
    <row r="42" spans="2:23" ht="17.45" customHeight="1">
      <c r="B42" s="37" t="s">
        <v>141</v>
      </c>
      <c r="C42" s="37"/>
      <c r="D42" s="37"/>
      <c r="E42" s="37"/>
      <c r="H42" s="38">
        <v>7.4909317017636035E-2</v>
      </c>
      <c r="I42" s="38">
        <v>8.0060765500453324E-2</v>
      </c>
      <c r="J42" s="38">
        <v>9.5228912520410006E-2</v>
      </c>
      <c r="K42" s="38">
        <v>9.8226827318931523E-2</v>
      </c>
      <c r="L42" s="38">
        <v>9.7877372709343796E-2</v>
      </c>
      <c r="M42" s="38">
        <v>8.8686310205246782E-2</v>
      </c>
      <c r="N42" s="38">
        <v>0.10842580491195934</v>
      </c>
      <c r="O42" s="38">
        <v>8.3012799523504724E-2</v>
      </c>
      <c r="P42" s="38">
        <v>9.9797669631089964E-2</v>
      </c>
      <c r="Q42" s="38">
        <v>0.10114497074594322</v>
      </c>
      <c r="R42" s="38">
        <v>9.9702370340066765E-2</v>
      </c>
      <c r="S42" s="38">
        <v>8.7441394886483392E-2</v>
      </c>
      <c r="U42" s="38">
        <f>AVERAGE(H42:S42)</f>
        <v>9.287620960925573E-2</v>
      </c>
    </row>
    <row r="43" spans="2:23" ht="17.45" customHeight="1">
      <c r="B43" s="37" t="s">
        <v>140</v>
      </c>
      <c r="C43" s="37"/>
      <c r="D43" s="37"/>
      <c r="E43" s="37"/>
      <c r="H43" s="38">
        <v>7.4999999999999997E-2</v>
      </c>
      <c r="I43" s="38">
        <v>8.0897289999999997E-2</v>
      </c>
      <c r="J43" s="38">
        <v>9.5228912172762442E-2</v>
      </c>
      <c r="K43" s="38">
        <v>9.5000000000000001E-2</v>
      </c>
      <c r="L43" s="38">
        <v>9.5000000000000001E-2</v>
      </c>
      <c r="M43" s="38">
        <v>9.4790510519460663E-2</v>
      </c>
      <c r="N43" s="38">
        <v>9.5209489480539339E-2</v>
      </c>
      <c r="O43" s="38">
        <v>9.5000000000000001E-2</v>
      </c>
      <c r="P43" s="38">
        <v>9.5000000000000001E-2</v>
      </c>
      <c r="Q43" s="38">
        <v>9.5000000000000001E-2</v>
      </c>
      <c r="R43" s="38">
        <v>9.5000000000000001E-2</v>
      </c>
      <c r="S43" s="38">
        <v>9.5000000000000001E-2</v>
      </c>
      <c r="U43" s="38">
        <f>AVERAGE(H43:S43)</f>
        <v>9.2177183514396854E-2</v>
      </c>
    </row>
    <row r="44" spans="2:23" ht="17.45" customHeight="1">
      <c r="B44" s="37" t="s">
        <v>139</v>
      </c>
      <c r="C44" s="37"/>
      <c r="D44" s="37"/>
      <c r="E44" s="37"/>
      <c r="H44" s="40">
        <v>10.02</v>
      </c>
      <c r="I44" s="39">
        <v>10.01</v>
      </c>
      <c r="J44" s="39">
        <v>9.98</v>
      </c>
      <c r="K44" s="39">
        <v>9.8073375056087393</v>
      </c>
      <c r="L44" s="39">
        <v>9.8470862726028177</v>
      </c>
      <c r="M44" s="39">
        <v>9.7200000000000006</v>
      </c>
      <c r="N44" s="39">
        <v>9.8809027798720628</v>
      </c>
      <c r="O44" s="39">
        <v>9.77</v>
      </c>
      <c r="P44" s="39">
        <v>9.7307687082094532</v>
      </c>
      <c r="Q44" s="39">
        <v>9.6</v>
      </c>
      <c r="R44" s="39">
        <v>9.5200987156388823</v>
      </c>
      <c r="S44" s="39">
        <v>9.24</v>
      </c>
      <c r="U44" s="39" t="s">
        <v>137</v>
      </c>
    </row>
    <row r="45" spans="2:23" ht="17.45" customHeight="1">
      <c r="B45" s="37" t="s">
        <v>138</v>
      </c>
      <c r="C45" s="37"/>
      <c r="D45" s="37"/>
      <c r="E45" s="37"/>
      <c r="H45" s="39">
        <v>9.5</v>
      </c>
      <c r="I45" s="39">
        <v>9.01</v>
      </c>
      <c r="J45" s="39">
        <v>8.9</v>
      </c>
      <c r="K45" s="39">
        <v>9</v>
      </c>
      <c r="L45" s="39">
        <v>9.06</v>
      </c>
      <c r="M45" s="39">
        <v>8.99</v>
      </c>
      <c r="N45" s="39">
        <v>9.01</v>
      </c>
      <c r="O45" s="39">
        <v>9.02</v>
      </c>
      <c r="P45" s="39">
        <v>9.01</v>
      </c>
      <c r="Q45" s="39">
        <v>8.57</v>
      </c>
      <c r="R45" s="39">
        <v>8.02</v>
      </c>
      <c r="S45" s="39">
        <v>8</v>
      </c>
      <c r="U45" s="39" t="s">
        <v>137</v>
      </c>
    </row>
    <row r="46" spans="2:23" ht="17.45" customHeight="1">
      <c r="I46" s="13"/>
      <c r="J46" s="13"/>
      <c r="K46" s="13"/>
      <c r="L46" s="13"/>
      <c r="M46" s="13"/>
      <c r="N46" s="13"/>
      <c r="O46" s="13"/>
      <c r="P46" s="13"/>
      <c r="Q46" s="13"/>
      <c r="R46" s="13"/>
      <c r="S46" s="13"/>
    </row>
    <row r="47" spans="2:23" ht="24.95" customHeight="1">
      <c r="B47" s="21" t="s">
        <v>155</v>
      </c>
      <c r="C47" s="20"/>
      <c r="D47" s="20"/>
      <c r="E47" s="20"/>
      <c r="F47" s="18"/>
      <c r="G47" s="18"/>
      <c r="H47" s="19">
        <v>44927</v>
      </c>
      <c r="I47" s="19">
        <v>44958</v>
      </c>
      <c r="J47" s="19">
        <v>44986</v>
      </c>
      <c r="K47" s="19">
        <v>45017</v>
      </c>
      <c r="L47" s="19">
        <v>45047</v>
      </c>
      <c r="M47" s="19">
        <v>45078</v>
      </c>
      <c r="N47" s="19">
        <v>45108</v>
      </c>
      <c r="O47" s="19">
        <v>45139</v>
      </c>
      <c r="P47" s="19">
        <v>45170</v>
      </c>
      <c r="Q47" s="19">
        <v>45200</v>
      </c>
      <c r="R47" s="19">
        <v>45231</v>
      </c>
      <c r="S47" s="19">
        <v>45261</v>
      </c>
      <c r="T47" s="18"/>
      <c r="U47" s="17">
        <v>2023</v>
      </c>
    </row>
    <row r="48" spans="2:23" ht="5.0999999999999996" customHeight="1">
      <c r="B48" s="16"/>
      <c r="C48" s="15"/>
      <c r="D48" s="15"/>
      <c r="E48" s="15"/>
      <c r="H48" s="14"/>
      <c r="I48" s="14"/>
      <c r="J48" s="14"/>
      <c r="K48" s="14"/>
      <c r="L48" s="14"/>
      <c r="M48" s="14"/>
      <c r="N48" s="14"/>
      <c r="O48" s="14"/>
      <c r="P48" s="14"/>
      <c r="Q48" s="14"/>
      <c r="R48" s="14"/>
      <c r="S48" s="14"/>
      <c r="U48" s="14"/>
    </row>
    <row r="49" spans="2:23" ht="5.0999999999999996" customHeight="1">
      <c r="B49" s="16"/>
      <c r="C49" s="15"/>
      <c r="D49" s="15"/>
      <c r="E49" s="15"/>
      <c r="H49" s="14"/>
      <c r="I49" s="14"/>
      <c r="J49" s="14"/>
      <c r="K49" s="14"/>
      <c r="L49" s="14"/>
      <c r="M49" s="14"/>
      <c r="N49" s="14"/>
      <c r="O49" s="14"/>
      <c r="P49" s="14"/>
      <c r="Q49" s="14"/>
      <c r="R49" s="14"/>
      <c r="S49" s="14"/>
      <c r="U49" s="14"/>
    </row>
    <row r="50" spans="2:23" ht="17.45" customHeight="1">
      <c r="B50" s="31" t="s">
        <v>152</v>
      </c>
      <c r="C50" s="31"/>
      <c r="D50" s="31"/>
      <c r="E50" s="31"/>
      <c r="H50" s="32">
        <v>484295.07549323159</v>
      </c>
      <c r="I50" s="32">
        <v>751694.09699040488</v>
      </c>
      <c r="J50" s="32">
        <v>465421.63130273699</v>
      </c>
      <c r="K50" s="32">
        <v>536704.57742864289</v>
      </c>
      <c r="L50" s="32">
        <v>588952.82000532374</v>
      </c>
      <c r="M50" s="32">
        <v>546150.28124309494</v>
      </c>
      <c r="N50" s="32">
        <v>719374.95903026545</v>
      </c>
      <c r="O50" s="32">
        <v>617787.32303958945</v>
      </c>
      <c r="P50" s="32">
        <v>670234.97161575384</v>
      </c>
      <c r="Q50" s="32">
        <v>435455.36393753334</v>
      </c>
      <c r="R50" s="32">
        <v>691763.31348405592</v>
      </c>
      <c r="S50" s="32">
        <v>798758.48961622687</v>
      </c>
      <c r="U50" s="32">
        <v>7309624.4431868596</v>
      </c>
      <c r="W50" s="41">
        <f>SUM(H50:U50)-SUM(H51:U53)</f>
        <v>0</v>
      </c>
    </row>
    <row r="51" spans="2:23" ht="17.45" customHeight="1">
      <c r="B51" s="33" t="s">
        <v>151</v>
      </c>
      <c r="C51" s="33"/>
      <c r="D51" s="33"/>
      <c r="E51" s="33"/>
      <c r="H51" s="34">
        <v>373193.59293305443</v>
      </c>
      <c r="I51" s="34">
        <v>363010.84048745502</v>
      </c>
      <c r="J51" s="34">
        <v>328009.08792589785</v>
      </c>
      <c r="K51" s="34">
        <v>379322.613652492</v>
      </c>
      <c r="L51" s="34">
        <v>349353.42623465875</v>
      </c>
      <c r="M51" s="34">
        <v>363369.43119568698</v>
      </c>
      <c r="N51" s="34">
        <v>366693.94334616134</v>
      </c>
      <c r="O51" s="34">
        <v>372553.20590450132</v>
      </c>
      <c r="P51" s="34">
        <v>366222.31731681427</v>
      </c>
      <c r="Q51" s="34">
        <v>351903.19490049168</v>
      </c>
      <c r="R51" s="34">
        <v>399529.79643543303</v>
      </c>
      <c r="S51" s="34">
        <v>615935.20609636034</v>
      </c>
      <c r="U51" s="34">
        <v>4629096.6564290067</v>
      </c>
      <c r="W51" s="41"/>
    </row>
    <row r="52" spans="2:23" ht="17.45" customHeight="1">
      <c r="B52" s="33" t="s">
        <v>150</v>
      </c>
      <c r="C52" s="33"/>
      <c r="D52" s="33"/>
      <c r="E52" s="33"/>
      <c r="H52" s="34">
        <v>111101.48256017714</v>
      </c>
      <c r="I52" s="34">
        <v>388683.25650294987</v>
      </c>
      <c r="J52" s="34">
        <v>137412.54337683914</v>
      </c>
      <c r="K52" s="34">
        <v>160413.50377615099</v>
      </c>
      <c r="L52" s="34">
        <v>239599.39377066499</v>
      </c>
      <c r="M52" s="34">
        <v>182780.85004740799</v>
      </c>
      <c r="N52" s="34">
        <v>352681.01568410406</v>
      </c>
      <c r="O52" s="34">
        <v>245234.1171350881</v>
      </c>
      <c r="P52" s="34">
        <v>72736.814298939586</v>
      </c>
      <c r="Q52" s="34">
        <v>83552.169037041691</v>
      </c>
      <c r="R52" s="34">
        <v>96777.437048622887</v>
      </c>
      <c r="S52" s="34">
        <v>96180.223519866558</v>
      </c>
      <c r="U52" s="34">
        <v>2167152.8067578529</v>
      </c>
      <c r="W52" s="41"/>
    </row>
    <row r="53" spans="2:23" ht="17.45" customHeight="1">
      <c r="B53" s="33" t="s">
        <v>149</v>
      </c>
      <c r="C53" s="33"/>
      <c r="D53" s="33"/>
      <c r="E53" s="33"/>
      <c r="H53" s="34"/>
      <c r="I53" s="34"/>
      <c r="J53" s="34"/>
      <c r="K53" s="34">
        <v>-3031.54000000001</v>
      </c>
      <c r="L53" s="34"/>
      <c r="M53" s="34"/>
      <c r="N53" s="34"/>
      <c r="O53" s="34"/>
      <c r="P53" s="34">
        <v>231275.84</v>
      </c>
      <c r="Q53" s="34"/>
      <c r="R53" s="34">
        <v>195456.08</v>
      </c>
      <c r="S53" s="34">
        <v>86643.059999999896</v>
      </c>
      <c r="U53" s="34">
        <v>513374.97999999986</v>
      </c>
      <c r="W53" s="41"/>
    </row>
    <row r="54" spans="2:23" ht="17.45" customHeight="1">
      <c r="B54" s="31" t="s">
        <v>148</v>
      </c>
      <c r="C54" s="31"/>
      <c r="D54" s="31"/>
      <c r="E54" s="31"/>
      <c r="H54" s="32">
        <v>18411.490000000002</v>
      </c>
      <c r="I54" s="32">
        <v>18605.850000000009</v>
      </c>
      <c r="J54" s="32">
        <v>22158.579999999991</v>
      </c>
      <c r="K54" s="32">
        <v>21049.64</v>
      </c>
      <c r="L54" s="32">
        <v>14896.459999999995</v>
      </c>
      <c r="M54" s="32">
        <v>15757.879999999994</v>
      </c>
      <c r="N54" s="32">
        <v>11400.36</v>
      </c>
      <c r="O54" s="32">
        <v>10806.92</v>
      </c>
      <c r="P54" s="32">
        <v>9693.4599999999991</v>
      </c>
      <c r="Q54" s="32">
        <v>11297.26</v>
      </c>
      <c r="R54" s="32">
        <v>37702.659999999996</v>
      </c>
      <c r="S54" s="32">
        <v>147136.29999999999</v>
      </c>
      <c r="U54" s="32">
        <v>338916.86</v>
      </c>
      <c r="W54" s="41">
        <f>SUM(H54:U54)-SUM(H55:U56)</f>
        <v>0</v>
      </c>
    </row>
    <row r="55" spans="2:23" ht="17.45" customHeight="1">
      <c r="B55" s="33" t="s">
        <v>147</v>
      </c>
      <c r="C55" s="33"/>
      <c r="D55" s="33"/>
      <c r="E55" s="33"/>
      <c r="H55" s="34"/>
      <c r="I55" s="34"/>
      <c r="J55" s="34"/>
      <c r="K55" s="34"/>
      <c r="L55" s="34"/>
      <c r="M55" s="34"/>
      <c r="N55" s="34"/>
      <c r="O55" s="34"/>
      <c r="P55" s="34"/>
      <c r="Q55" s="34">
        <v>161.28</v>
      </c>
      <c r="R55" s="34">
        <v>5122.6199999999953</v>
      </c>
      <c r="S55" s="34">
        <v>20283.899999999994</v>
      </c>
      <c r="U55" s="34">
        <v>25567.799999999988</v>
      </c>
      <c r="W55" s="41"/>
    </row>
    <row r="56" spans="2:23" ht="17.45" customHeight="1">
      <c r="B56" s="33" t="s">
        <v>146</v>
      </c>
      <c r="C56" s="33"/>
      <c r="D56" s="33"/>
      <c r="E56" s="33"/>
      <c r="H56" s="34">
        <v>18411.490000000002</v>
      </c>
      <c r="I56" s="34">
        <v>18605.850000000009</v>
      </c>
      <c r="J56" s="34">
        <v>22158.579999999991</v>
      </c>
      <c r="K56" s="34">
        <v>21049.64</v>
      </c>
      <c r="L56" s="34">
        <v>14896.459999999995</v>
      </c>
      <c r="M56" s="34">
        <v>15757.879999999994</v>
      </c>
      <c r="N56" s="34">
        <v>11400.36</v>
      </c>
      <c r="O56" s="34">
        <v>10806.92</v>
      </c>
      <c r="P56" s="34">
        <v>9693.4599999999991</v>
      </c>
      <c r="Q56" s="34">
        <v>11135.98</v>
      </c>
      <c r="R56" s="34">
        <v>32580.04</v>
      </c>
      <c r="S56" s="34">
        <v>126852.4</v>
      </c>
      <c r="U56" s="34">
        <v>313349.06</v>
      </c>
      <c r="W56" s="41"/>
    </row>
    <row r="57" spans="2:23" ht="17.45" customHeight="1">
      <c r="B57" s="31" t="s">
        <v>145</v>
      </c>
      <c r="C57" s="31"/>
      <c r="D57" s="31"/>
      <c r="E57" s="31"/>
      <c r="H57" s="32">
        <v>-64282.439999999995</v>
      </c>
      <c r="I57" s="32">
        <v>-49295.4</v>
      </c>
      <c r="J57" s="32">
        <v>-48726.62</v>
      </c>
      <c r="K57" s="32">
        <v>-49157.73</v>
      </c>
      <c r="L57" s="32">
        <v>-54788.770000000004</v>
      </c>
      <c r="M57" s="32">
        <v>-62826.320000000007</v>
      </c>
      <c r="N57" s="32">
        <v>-51865.22</v>
      </c>
      <c r="O57" s="32">
        <v>-51312.289999999994</v>
      </c>
      <c r="P57" s="32">
        <v>-50446.68</v>
      </c>
      <c r="Q57" s="32">
        <v>-74140.84</v>
      </c>
      <c r="R57" s="32">
        <v>-56348.959999999999</v>
      </c>
      <c r="S57" s="32">
        <v>-75098.05</v>
      </c>
      <c r="U57" s="32">
        <v>-688289.32</v>
      </c>
      <c r="W57" s="41">
        <f>SUM(H57:U57)-SUM(H58:U58)</f>
        <v>0</v>
      </c>
    </row>
    <row r="58" spans="2:23" ht="17.45" customHeight="1">
      <c r="B58" s="33" t="s">
        <v>144</v>
      </c>
      <c r="C58" s="33"/>
      <c r="D58" s="33"/>
      <c r="E58" s="33"/>
      <c r="H58" s="34">
        <v>-64282.439999999995</v>
      </c>
      <c r="I58" s="34">
        <v>-49295.4</v>
      </c>
      <c r="J58" s="34">
        <v>-48726.62</v>
      </c>
      <c r="K58" s="34">
        <v>-49157.729999999996</v>
      </c>
      <c r="L58" s="34">
        <v>-54788.770000000004</v>
      </c>
      <c r="M58" s="34">
        <v>-62826.320000000007</v>
      </c>
      <c r="N58" s="34">
        <v>-51865.22</v>
      </c>
      <c r="O58" s="34">
        <v>-51312.289999999994</v>
      </c>
      <c r="P58" s="34">
        <v>-50446.68</v>
      </c>
      <c r="Q58" s="34">
        <v>-74140.84</v>
      </c>
      <c r="R58" s="34">
        <v>-56348.959999999999</v>
      </c>
      <c r="S58" s="34">
        <v>-75098.05</v>
      </c>
      <c r="U58" s="34">
        <v>-688289.32</v>
      </c>
      <c r="W58" s="41"/>
    </row>
    <row r="59" spans="2:23" ht="17.45" customHeight="1">
      <c r="B59" s="31" t="s">
        <v>143</v>
      </c>
      <c r="C59" s="31"/>
      <c r="D59" s="31"/>
      <c r="E59" s="31"/>
      <c r="H59" s="32">
        <v>438424.12549323158</v>
      </c>
      <c r="I59" s="32">
        <v>721004.54699040484</v>
      </c>
      <c r="J59" s="32">
        <v>438853.59130273701</v>
      </c>
      <c r="K59" s="32">
        <v>508596.48742864293</v>
      </c>
      <c r="L59" s="32">
        <v>549060.51000532368</v>
      </c>
      <c r="M59" s="32">
        <v>499081.84124309494</v>
      </c>
      <c r="N59" s="32">
        <v>678910.09903026547</v>
      </c>
      <c r="O59" s="32">
        <v>577281.95303958945</v>
      </c>
      <c r="P59" s="32">
        <v>629481.75161575375</v>
      </c>
      <c r="Q59" s="32">
        <v>372611.78393753339</v>
      </c>
      <c r="R59" s="32">
        <v>673117.01348405599</v>
      </c>
      <c r="S59" s="32">
        <v>870796.73961622687</v>
      </c>
      <c r="U59" s="32">
        <v>6960251.9831868596</v>
      </c>
      <c r="W59" s="41">
        <f>SUM(H50:U50,H54:U54,H57:U57)-SUM(H59:U59)</f>
        <v>0</v>
      </c>
    </row>
    <row r="60" spans="2:23" ht="17.45" customHeight="1">
      <c r="B60" s="35" t="s">
        <v>142</v>
      </c>
      <c r="C60" s="35"/>
      <c r="D60" s="35"/>
      <c r="E60" s="35"/>
      <c r="H60" s="36">
        <v>552750</v>
      </c>
      <c r="I60" s="36">
        <v>552749.99999999977</v>
      </c>
      <c r="J60" s="36">
        <v>552750</v>
      </c>
      <c r="K60" s="36">
        <v>552750</v>
      </c>
      <c r="L60" s="36">
        <v>552750</v>
      </c>
      <c r="M60" s="36">
        <v>552750</v>
      </c>
      <c r="N60" s="36">
        <v>552750</v>
      </c>
      <c r="O60" s="36">
        <v>552749.99999999977</v>
      </c>
      <c r="P60" s="36">
        <v>552750</v>
      </c>
      <c r="Q60" s="36">
        <v>552750</v>
      </c>
      <c r="R60" s="36">
        <v>552750</v>
      </c>
      <c r="S60" s="36">
        <v>502500</v>
      </c>
      <c r="U60" s="36">
        <v>6582750</v>
      </c>
    </row>
    <row r="61" spans="2:23" ht="17.45" customHeight="1">
      <c r="B61" s="37" t="s">
        <v>141</v>
      </c>
      <c r="C61" s="37"/>
      <c r="D61" s="37"/>
      <c r="E61" s="37"/>
      <c r="H61" s="38">
        <v>8.7248582187707771E-2</v>
      </c>
      <c r="I61" s="38">
        <v>0.14348349193838902</v>
      </c>
      <c r="J61" s="38">
        <v>8.7334048020445171E-2</v>
      </c>
      <c r="K61" s="39">
        <v>0.10121323132908316</v>
      </c>
      <c r="L61" s="38">
        <v>0.10926577313538779</v>
      </c>
      <c r="M61" s="38">
        <v>9.9319769401610927E-2</v>
      </c>
      <c r="N61" s="38">
        <v>0.13510648736920705</v>
      </c>
      <c r="O61" s="38">
        <v>0.11488198070439591</v>
      </c>
      <c r="P61" s="38">
        <v>0.12527000032154303</v>
      </c>
      <c r="Q61" s="38">
        <v>7.4151598793538984E-2</v>
      </c>
      <c r="R61" s="38">
        <v>0.13395363452419023</v>
      </c>
      <c r="S61" s="38">
        <v>0.17329288350571678</v>
      </c>
      <c r="U61" s="38">
        <v>0.11542706439779205</v>
      </c>
    </row>
    <row r="62" spans="2:23" ht="17.45" customHeight="1">
      <c r="B62" s="37" t="s">
        <v>140</v>
      </c>
      <c r="C62" s="37"/>
      <c r="D62" s="37"/>
      <c r="E62" s="37"/>
      <c r="H62" s="38">
        <v>0.11</v>
      </c>
      <c r="I62" s="38">
        <v>0.10999999999999996</v>
      </c>
      <c r="J62" s="38">
        <v>0.11</v>
      </c>
      <c r="K62" s="38">
        <v>0.11</v>
      </c>
      <c r="L62" s="38">
        <v>0.11</v>
      </c>
      <c r="M62" s="38">
        <v>0.11</v>
      </c>
      <c r="N62" s="38">
        <v>0.11</v>
      </c>
      <c r="O62" s="38">
        <v>0.10999999999999996</v>
      </c>
      <c r="P62" s="38">
        <v>0.11</v>
      </c>
      <c r="Q62" s="38">
        <v>0.11</v>
      </c>
      <c r="R62" s="38">
        <v>0.11</v>
      </c>
      <c r="S62" s="38">
        <v>0.1</v>
      </c>
      <c r="U62" s="38">
        <v>0.10916666666666668</v>
      </c>
    </row>
    <row r="63" spans="2:23" ht="17.45" customHeight="1">
      <c r="B63" s="37" t="s">
        <v>139</v>
      </c>
      <c r="C63" s="37"/>
      <c r="D63" s="37"/>
      <c r="E63" s="37"/>
      <c r="H63" s="40">
        <v>9.65</v>
      </c>
      <c r="I63" s="39">
        <v>9.75</v>
      </c>
      <c r="J63" s="39">
        <v>9.8699999999999992</v>
      </c>
      <c r="K63" s="39">
        <v>9.91</v>
      </c>
      <c r="L63" s="39">
        <v>10.039999999999999</v>
      </c>
      <c r="M63" s="39">
        <v>10.09</v>
      </c>
      <c r="N63" s="39">
        <v>9.91</v>
      </c>
      <c r="O63" s="39">
        <v>9.84</v>
      </c>
      <c r="P63" s="39">
        <v>9.7100000000000009</v>
      </c>
      <c r="Q63" s="39">
        <v>9.73</v>
      </c>
      <c r="R63" s="39">
        <v>9.98</v>
      </c>
      <c r="S63" s="39">
        <v>10.01</v>
      </c>
      <c r="U63" s="39" t="s">
        <v>137</v>
      </c>
    </row>
    <row r="64" spans="2:23" ht="17.45" customHeight="1">
      <c r="B64" s="37" t="s">
        <v>138</v>
      </c>
      <c r="C64" s="37"/>
      <c r="D64" s="37"/>
      <c r="E64" s="37"/>
      <c r="H64" s="39">
        <v>9.4499999999999993</v>
      </c>
      <c r="I64" s="39">
        <v>8.86</v>
      </c>
      <c r="J64" s="39">
        <v>8.5500000000000007</v>
      </c>
      <c r="K64" s="39">
        <v>8.6999999999999993</v>
      </c>
      <c r="L64" s="39">
        <v>8.77</v>
      </c>
      <c r="M64" s="39">
        <v>8.75</v>
      </c>
      <c r="N64" s="39">
        <v>8.76</v>
      </c>
      <c r="O64" s="39">
        <v>9.18</v>
      </c>
      <c r="P64" s="39">
        <v>9.69</v>
      </c>
      <c r="Q64" s="39">
        <v>10.24</v>
      </c>
      <c r="R64" s="39">
        <v>10.17</v>
      </c>
      <c r="S64" s="39">
        <v>9.7200000000000006</v>
      </c>
      <c r="U64" s="39" t="s">
        <v>137</v>
      </c>
    </row>
    <row r="65" spans="2:23" ht="24" customHeight="1">
      <c r="B65" s="16"/>
      <c r="C65" s="15"/>
      <c r="D65" s="15"/>
      <c r="E65" s="15"/>
      <c r="H65" s="14"/>
      <c r="I65" s="14"/>
      <c r="J65" s="14"/>
      <c r="K65" s="14"/>
      <c r="L65" s="14"/>
      <c r="M65" s="14"/>
      <c r="N65" s="14"/>
      <c r="O65" s="14"/>
      <c r="P65" s="14"/>
      <c r="Q65" s="14"/>
      <c r="R65" s="14"/>
      <c r="S65" s="14"/>
      <c r="U65" s="14"/>
    </row>
    <row r="66" spans="2:23" ht="24.75" customHeight="1">
      <c r="B66" s="21" t="s">
        <v>154</v>
      </c>
      <c r="C66" s="20"/>
      <c r="D66" s="20"/>
      <c r="E66" s="20"/>
      <c r="F66" s="18"/>
      <c r="G66" s="18"/>
      <c r="H66" s="19">
        <v>44562</v>
      </c>
      <c r="I66" s="19">
        <v>44593</v>
      </c>
      <c r="J66" s="19">
        <v>44621</v>
      </c>
      <c r="K66" s="19">
        <v>44652</v>
      </c>
      <c r="L66" s="19">
        <v>44682</v>
      </c>
      <c r="M66" s="19">
        <v>44713</v>
      </c>
      <c r="N66" s="19">
        <v>44743</v>
      </c>
      <c r="O66" s="19">
        <v>44774</v>
      </c>
      <c r="P66" s="19">
        <v>44805</v>
      </c>
      <c r="Q66" s="19">
        <v>44835</v>
      </c>
      <c r="R66" s="19">
        <v>44866</v>
      </c>
      <c r="S66" s="19">
        <v>44896</v>
      </c>
      <c r="U66" s="17">
        <v>2022</v>
      </c>
    </row>
    <row r="67" spans="2:23" ht="5.0999999999999996" customHeight="1">
      <c r="B67" s="16"/>
      <c r="C67" s="15"/>
      <c r="D67" s="15"/>
      <c r="E67" s="15"/>
      <c r="H67" s="14"/>
      <c r="I67" s="14"/>
      <c r="J67" s="14"/>
      <c r="K67" s="14"/>
      <c r="L67" s="14"/>
      <c r="M67" s="14"/>
      <c r="N67" s="14"/>
      <c r="O67" s="14"/>
      <c r="P67" s="14"/>
      <c r="Q67" s="14"/>
      <c r="R67" s="14"/>
      <c r="S67" s="14"/>
      <c r="T67" s="14"/>
      <c r="U67" s="14"/>
    </row>
    <row r="68" spans="2:23" ht="4.5" customHeight="1">
      <c r="B68" s="16"/>
      <c r="C68" s="15"/>
      <c r="D68" s="15"/>
      <c r="E68" s="15"/>
      <c r="H68" s="14"/>
      <c r="I68" s="14"/>
      <c r="J68" s="14"/>
      <c r="K68" s="14"/>
      <c r="L68" s="14"/>
      <c r="M68" s="14"/>
      <c r="N68" s="14"/>
      <c r="O68" s="14"/>
      <c r="P68" s="14"/>
      <c r="Q68" s="14"/>
      <c r="R68" s="14"/>
      <c r="S68" s="14"/>
      <c r="T68" s="14"/>
      <c r="U68" s="14"/>
    </row>
    <row r="69" spans="2:23" ht="17.45" customHeight="1">
      <c r="B69" s="31" t="s">
        <v>152</v>
      </c>
      <c r="C69" s="31"/>
      <c r="D69" s="31"/>
      <c r="E69" s="31"/>
      <c r="H69" s="32">
        <v>585285.59733655583</v>
      </c>
      <c r="I69" s="32">
        <v>622601.06000000006</v>
      </c>
      <c r="J69" s="32">
        <v>548836.21198502078</v>
      </c>
      <c r="K69" s="32">
        <v>625082.794352383</v>
      </c>
      <c r="L69" s="32">
        <v>604207.40308225597</v>
      </c>
      <c r="M69" s="32">
        <v>672980.31881585601</v>
      </c>
      <c r="N69" s="32">
        <v>1145857.5130537702</v>
      </c>
      <c r="O69" s="32">
        <v>587545.17067690846</v>
      </c>
      <c r="P69" s="32">
        <v>398399.16036225663</v>
      </c>
      <c r="Q69" s="32">
        <v>438521.99026460596</v>
      </c>
      <c r="R69" s="32">
        <v>435851.57823125378</v>
      </c>
      <c r="S69" s="32">
        <v>456787.33698755637</v>
      </c>
      <c r="U69" s="32">
        <v>7121956.1351484228</v>
      </c>
      <c r="W69" s="41">
        <f>SUM(H69:U69)-SUM(H70:U72)</f>
        <v>0</v>
      </c>
    </row>
    <row r="70" spans="2:23" ht="17.45" customHeight="1">
      <c r="B70" s="33" t="s">
        <v>151</v>
      </c>
      <c r="C70" s="33"/>
      <c r="D70" s="33"/>
      <c r="E70" s="33"/>
      <c r="H70" s="34">
        <v>288804.54733655578</v>
      </c>
      <c r="I70" s="34">
        <v>293355.7</v>
      </c>
      <c r="J70" s="34">
        <v>325164.17146581801</v>
      </c>
      <c r="K70" s="34">
        <v>353008.11357949302</v>
      </c>
      <c r="L70" s="34">
        <v>332585.39854404837</v>
      </c>
      <c r="M70" s="34">
        <v>346080.30814515793</v>
      </c>
      <c r="N70" s="34">
        <v>345740.44721600157</v>
      </c>
      <c r="O70" s="34">
        <v>291111.02285901498</v>
      </c>
      <c r="P70" s="34">
        <v>343622.47974047012</v>
      </c>
      <c r="Q70" s="34">
        <v>333109.70123362698</v>
      </c>
      <c r="R70" s="34">
        <v>326831.32991407375</v>
      </c>
      <c r="S70" s="34">
        <v>342720.44965815952</v>
      </c>
      <c r="U70" s="34">
        <v>3922133.6696924204</v>
      </c>
      <c r="W70" s="41"/>
    </row>
    <row r="71" spans="2:23" ht="17.45" customHeight="1">
      <c r="B71" s="33" t="s">
        <v>150</v>
      </c>
      <c r="C71" s="33"/>
      <c r="D71" s="33"/>
      <c r="E71" s="33"/>
      <c r="H71" s="34">
        <v>296481.05</v>
      </c>
      <c r="I71" s="34">
        <v>329245.36000000004</v>
      </c>
      <c r="J71" s="34">
        <v>223672.04051920274</v>
      </c>
      <c r="K71" s="34">
        <v>272074.68077288999</v>
      </c>
      <c r="L71" s="34">
        <v>271622.00453820755</v>
      </c>
      <c r="M71" s="34">
        <v>326900.01067069813</v>
      </c>
      <c r="N71" s="34">
        <v>800117.0658377686</v>
      </c>
      <c r="O71" s="34">
        <v>296434.14781789348</v>
      </c>
      <c r="P71" s="34">
        <v>54776.680621786487</v>
      </c>
      <c r="Q71" s="34">
        <v>105412.28903097899</v>
      </c>
      <c r="R71" s="34">
        <v>109020.24831718</v>
      </c>
      <c r="S71" s="34">
        <v>114066.88732939684</v>
      </c>
      <c r="U71" s="34">
        <v>3199822.4654560029</v>
      </c>
      <c r="W71" s="41"/>
    </row>
    <row r="72" spans="2:23" ht="17.45" customHeight="1">
      <c r="B72" s="33" t="s">
        <v>149</v>
      </c>
      <c r="C72" s="33"/>
      <c r="D72" s="33"/>
      <c r="E72" s="33"/>
      <c r="H72" s="34"/>
      <c r="I72" s="34"/>
      <c r="J72" s="34"/>
      <c r="K72" s="34"/>
      <c r="L72" s="34"/>
      <c r="M72" s="34"/>
      <c r="N72" s="34"/>
      <c r="O72" s="34"/>
      <c r="P72" s="34"/>
      <c r="Q72" s="34"/>
      <c r="R72" s="34"/>
      <c r="S72" s="34"/>
      <c r="U72" s="34"/>
      <c r="W72" s="41"/>
    </row>
    <row r="73" spans="2:23" ht="17.45" customHeight="1">
      <c r="B73" s="31" t="s">
        <v>148</v>
      </c>
      <c r="C73" s="31"/>
      <c r="D73" s="31"/>
      <c r="E73" s="31"/>
      <c r="H73" s="32">
        <v>18057</v>
      </c>
      <c r="I73" s="32">
        <v>21206.069999999996</v>
      </c>
      <c r="J73" s="32">
        <v>14301.04</v>
      </c>
      <c r="K73" s="32">
        <v>18242.960000000006</v>
      </c>
      <c r="L73" s="32">
        <v>25045.509999999987</v>
      </c>
      <c r="M73" s="32">
        <v>30426.140000000014</v>
      </c>
      <c r="N73" s="32">
        <v>35002.080000000002</v>
      </c>
      <c r="O73" s="32">
        <v>39383.72</v>
      </c>
      <c r="P73" s="32">
        <v>38390.100000000006</v>
      </c>
      <c r="Q73" s="32">
        <v>38478.14</v>
      </c>
      <c r="R73" s="32">
        <v>15866.599999999995</v>
      </c>
      <c r="S73" s="32">
        <v>23135.33</v>
      </c>
      <c r="U73" s="32">
        <v>296926.7</v>
      </c>
      <c r="W73" s="41">
        <f>SUM(H73:U73)-SUM(H74:U75)</f>
        <v>0</v>
      </c>
    </row>
    <row r="74" spans="2:23" ht="17.45" customHeight="1">
      <c r="B74" s="33" t="s">
        <v>147</v>
      </c>
      <c r="C74" s="33"/>
      <c r="D74" s="33"/>
      <c r="E74" s="33"/>
      <c r="H74" s="34"/>
      <c r="I74" s="34"/>
      <c r="J74" s="34"/>
      <c r="K74" s="34">
        <v>4793.58</v>
      </c>
      <c r="L74" s="34">
        <v>6162</v>
      </c>
      <c r="M74" s="34">
        <v>6418.7500000000018</v>
      </c>
      <c r="N74" s="34">
        <v>6213.35</v>
      </c>
      <c r="O74" s="34">
        <v>5648.5</v>
      </c>
      <c r="P74" s="34">
        <v>5648.5</v>
      </c>
      <c r="Q74" s="34">
        <v>5135</v>
      </c>
      <c r="R74" s="34">
        <v>-19411.689999999999</v>
      </c>
      <c r="S74" s="34"/>
      <c r="U74" s="34"/>
      <c r="W74" s="41"/>
    </row>
    <row r="75" spans="2:23" ht="17.45" customHeight="1">
      <c r="B75" s="33" t="s">
        <v>146</v>
      </c>
      <c r="C75" s="33"/>
      <c r="D75" s="33"/>
      <c r="E75" s="33"/>
      <c r="H75" s="34">
        <v>18057</v>
      </c>
      <c r="I75" s="34">
        <v>21206.069999999996</v>
      </c>
      <c r="J75" s="34">
        <v>14301.04</v>
      </c>
      <c r="K75" s="34">
        <v>13449.380000000005</v>
      </c>
      <c r="L75" s="34">
        <v>18883.509999999987</v>
      </c>
      <c r="M75" s="34">
        <v>24007.390000000014</v>
      </c>
      <c r="N75" s="34">
        <v>28788.730000000003</v>
      </c>
      <c r="O75" s="34">
        <v>33735.22</v>
      </c>
      <c r="P75" s="34">
        <v>32741.600000000006</v>
      </c>
      <c r="Q75" s="34">
        <v>33343.14</v>
      </c>
      <c r="R75" s="34">
        <v>35278.289999999994</v>
      </c>
      <c r="S75" s="34">
        <v>23135.33</v>
      </c>
      <c r="U75" s="34">
        <v>296926.7</v>
      </c>
      <c r="W75" s="41"/>
    </row>
    <row r="76" spans="2:23" ht="17.45" customHeight="1">
      <c r="B76" s="31" t="s">
        <v>145</v>
      </c>
      <c r="C76" s="31"/>
      <c r="D76" s="31"/>
      <c r="E76" s="31"/>
      <c r="H76" s="32">
        <v>-49807</v>
      </c>
      <c r="I76" s="32">
        <v>-49646.03</v>
      </c>
      <c r="J76" s="32">
        <v>-51816.32</v>
      </c>
      <c r="K76" s="32">
        <v>-50651.39</v>
      </c>
      <c r="L76" s="32">
        <v>-55633.04</v>
      </c>
      <c r="M76" s="32">
        <v>-51410.63</v>
      </c>
      <c r="N76" s="32">
        <v>-51486.38</v>
      </c>
      <c r="O76" s="32">
        <v>-50949.38</v>
      </c>
      <c r="P76" s="32">
        <v>-50450.800000000017</v>
      </c>
      <c r="Q76" s="32">
        <v>-63718.630000000005</v>
      </c>
      <c r="R76" s="32">
        <v>-63951.199999999997</v>
      </c>
      <c r="S76" s="32">
        <v>-50347.459999999992</v>
      </c>
      <c r="U76" s="32">
        <v>-644129.21</v>
      </c>
      <c r="W76" s="41">
        <f>SUM(H76:U76)-SUM(H77:U77)</f>
        <v>0</v>
      </c>
    </row>
    <row r="77" spans="2:23" ht="17.45" customHeight="1">
      <c r="B77" s="33" t="s">
        <v>144</v>
      </c>
      <c r="C77" s="33"/>
      <c r="D77" s="33"/>
      <c r="E77" s="33"/>
      <c r="H77" s="34">
        <v>-49807</v>
      </c>
      <c r="I77" s="34">
        <v>-49646.03</v>
      </c>
      <c r="J77" s="34">
        <v>-51816.32</v>
      </c>
      <c r="K77" s="34">
        <v>-50651.389999999992</v>
      </c>
      <c r="L77" s="34">
        <v>-55633.04</v>
      </c>
      <c r="M77" s="34">
        <v>-51410.63</v>
      </c>
      <c r="N77" s="34">
        <v>-51486.38</v>
      </c>
      <c r="O77" s="34">
        <v>-50949.38</v>
      </c>
      <c r="P77" s="34">
        <v>-50450.800000000017</v>
      </c>
      <c r="Q77" s="34">
        <v>-63718.630000000005</v>
      </c>
      <c r="R77" s="34">
        <v>-63951.199999999997</v>
      </c>
      <c r="S77" s="34">
        <v>-50347.459999999992</v>
      </c>
      <c r="U77" s="34">
        <v>-644129.21</v>
      </c>
      <c r="W77" s="41"/>
    </row>
    <row r="78" spans="2:23" ht="17.45" customHeight="1">
      <c r="B78" s="31" t="s">
        <v>143</v>
      </c>
      <c r="C78" s="31"/>
      <c r="D78" s="31"/>
      <c r="E78" s="31"/>
      <c r="H78" s="32">
        <v>553535.59733655583</v>
      </c>
      <c r="I78" s="32">
        <v>594161.1</v>
      </c>
      <c r="J78" s="32">
        <v>511320.93198502081</v>
      </c>
      <c r="K78" s="32">
        <v>592674.36435238295</v>
      </c>
      <c r="L78" s="32">
        <v>573619.87308225594</v>
      </c>
      <c r="M78" s="32">
        <v>651995.82881585602</v>
      </c>
      <c r="N78" s="32">
        <v>1129373.2130537704</v>
      </c>
      <c r="O78" s="32">
        <v>575979.51067690842</v>
      </c>
      <c r="P78" s="32">
        <v>386338.46036225662</v>
      </c>
      <c r="Q78" s="32">
        <v>413281.50026460597</v>
      </c>
      <c r="R78" s="32">
        <v>387766.97823125374</v>
      </c>
      <c r="S78" s="32">
        <v>429575.20698755642</v>
      </c>
      <c r="U78" s="32">
        <v>6774753.625148423</v>
      </c>
      <c r="W78" s="41">
        <f>SUM(H69:U69,H73:U73,H76:U76)-SUM(H78:U78)</f>
        <v>0</v>
      </c>
    </row>
    <row r="79" spans="2:23" ht="17.45" customHeight="1">
      <c r="B79" s="35" t="s">
        <v>142</v>
      </c>
      <c r="C79" s="35"/>
      <c r="D79" s="35"/>
      <c r="E79" s="35"/>
      <c r="H79" s="36">
        <v>527625.22000000032</v>
      </c>
      <c r="I79" s="36">
        <v>529161.10000000009</v>
      </c>
      <c r="J79" s="36">
        <v>552749.99999999965</v>
      </c>
      <c r="K79" s="36">
        <v>552750</v>
      </c>
      <c r="L79" s="36">
        <v>552750</v>
      </c>
      <c r="M79" s="36">
        <v>603000.00000000012</v>
      </c>
      <c r="N79" s="36">
        <v>552750</v>
      </c>
      <c r="O79" s="36">
        <v>552749.99999999988</v>
      </c>
      <c r="P79" s="36">
        <v>552749.99999999988</v>
      </c>
      <c r="Q79" s="36">
        <v>552750</v>
      </c>
      <c r="R79" s="36">
        <v>552750</v>
      </c>
      <c r="S79" s="36">
        <v>552750</v>
      </c>
      <c r="U79" s="36">
        <v>6634536.3199999994</v>
      </c>
    </row>
    <row r="80" spans="2:23" ht="17.45" customHeight="1">
      <c r="B80" s="37" t="s">
        <v>141</v>
      </c>
      <c r="C80" s="37"/>
      <c r="D80" s="37"/>
      <c r="E80" s="37"/>
      <c r="H80" s="38">
        <v>0.11015633777841907</v>
      </c>
      <c r="I80" s="38">
        <v>0.11824101492537313</v>
      </c>
      <c r="J80" s="38">
        <v>0.1017554093502529</v>
      </c>
      <c r="K80" s="44">
        <v>1.1794514713480257</v>
      </c>
      <c r="L80" s="44">
        <v>1.1415320857358326</v>
      </c>
      <c r="M80" s="44">
        <v>1.2975041369469771</v>
      </c>
      <c r="N80" s="38">
        <v>0.22475088816990454</v>
      </c>
      <c r="O80" s="38">
        <v>0.11462278819440963</v>
      </c>
      <c r="P80" s="38">
        <v>7.6883275693981415E-2</v>
      </c>
      <c r="Q80" s="38">
        <v>8.2245074679523578E-2</v>
      </c>
      <c r="R80" s="38">
        <v>7.7167557856965913E-2</v>
      </c>
      <c r="S80" s="38">
        <v>8.5487603380608249E-2</v>
      </c>
      <c r="U80" s="38">
        <v>0.11235080638720436</v>
      </c>
    </row>
    <row r="81" spans="2:23" ht="17.45" customHeight="1">
      <c r="B81" s="37" t="s">
        <v>140</v>
      </c>
      <c r="C81" s="37"/>
      <c r="D81" s="37"/>
      <c r="E81" s="37"/>
      <c r="H81" s="38">
        <v>0.10500004378109459</v>
      </c>
      <c r="I81" s="38">
        <v>0.10530569154228858</v>
      </c>
      <c r="J81" s="38">
        <v>0.10999999999999993</v>
      </c>
      <c r="K81" s="38">
        <v>0.11</v>
      </c>
      <c r="L81" s="38">
        <v>0.11</v>
      </c>
      <c r="M81" s="38">
        <v>0.12000000000000002</v>
      </c>
      <c r="N81" s="38">
        <v>0.11</v>
      </c>
      <c r="O81" s="38">
        <v>0.10999999999999997</v>
      </c>
      <c r="P81" s="38">
        <v>0.10999999999999997</v>
      </c>
      <c r="Q81" s="38">
        <v>0.11</v>
      </c>
      <c r="R81" s="38">
        <v>0.11</v>
      </c>
      <c r="S81" s="38">
        <v>0.11</v>
      </c>
      <c r="U81" s="38">
        <v>0.11002547794361528</v>
      </c>
    </row>
    <row r="82" spans="2:23" ht="17.45" customHeight="1">
      <c r="B82" s="37" t="s">
        <v>139</v>
      </c>
      <c r="C82" s="37"/>
      <c r="D82" s="37"/>
      <c r="E82" s="37"/>
      <c r="H82" s="40">
        <v>10.16</v>
      </c>
      <c r="I82" s="39">
        <v>10.029999999999999</v>
      </c>
      <c r="J82" s="39">
        <v>10.199999999999999</v>
      </c>
      <c r="K82" s="39">
        <v>10.14</v>
      </c>
      <c r="L82" s="39">
        <v>10.19</v>
      </c>
      <c r="M82" s="39">
        <v>10.119999999999999</v>
      </c>
      <c r="N82" s="39">
        <v>9.9</v>
      </c>
      <c r="O82" s="39">
        <v>9.92</v>
      </c>
      <c r="P82" s="39">
        <v>9.92</v>
      </c>
      <c r="Q82" s="39">
        <v>9.9499999999999993</v>
      </c>
      <c r="R82" s="39">
        <v>9.8000000000000007</v>
      </c>
      <c r="S82" s="39">
        <v>9.76</v>
      </c>
      <c r="U82" s="39" t="s">
        <v>137</v>
      </c>
    </row>
    <row r="83" spans="2:23" ht="17.45" customHeight="1">
      <c r="B83" s="37" t="s">
        <v>138</v>
      </c>
      <c r="C83" s="37"/>
      <c r="D83" s="37"/>
      <c r="E83" s="37"/>
      <c r="H83" s="39">
        <v>9.98</v>
      </c>
      <c r="I83" s="39">
        <v>9.98</v>
      </c>
      <c r="J83" s="39">
        <v>9.9584299999999999</v>
      </c>
      <c r="K83" s="39">
        <v>9.8979999999999997</v>
      </c>
      <c r="L83" s="39">
        <v>9.9480000000000004</v>
      </c>
      <c r="M83" s="39">
        <v>9.4499999999999993</v>
      </c>
      <c r="N83" s="39">
        <v>9.4</v>
      </c>
      <c r="O83" s="39">
        <v>9.854000000000001</v>
      </c>
      <c r="P83" s="39">
        <v>9.8000000000000007</v>
      </c>
      <c r="Q83" s="39">
        <v>9.67</v>
      </c>
      <c r="R83" s="39">
        <v>9.1</v>
      </c>
      <c r="S83" s="39">
        <v>9.5500000000000007</v>
      </c>
      <c r="U83" s="39" t="s">
        <v>137</v>
      </c>
    </row>
    <row r="84" spans="2:23" ht="24" customHeight="1">
      <c r="I84" s="13"/>
      <c r="J84" s="13"/>
      <c r="K84" s="13"/>
      <c r="L84" s="13"/>
      <c r="M84" s="13"/>
      <c r="N84" s="13"/>
    </row>
    <row r="85" spans="2:23" ht="24.95" customHeight="1">
      <c r="B85" s="21" t="s">
        <v>153</v>
      </c>
      <c r="C85" s="20"/>
      <c r="D85" s="20"/>
      <c r="E85" s="20"/>
      <c r="F85" s="18"/>
      <c r="G85" s="18"/>
      <c r="H85" s="19">
        <v>44197</v>
      </c>
      <c r="I85" s="19">
        <v>44228</v>
      </c>
      <c r="J85" s="19">
        <v>44256</v>
      </c>
      <c r="K85" s="19">
        <v>44287</v>
      </c>
      <c r="L85" s="19">
        <v>44317</v>
      </c>
      <c r="M85" s="19">
        <v>44348</v>
      </c>
      <c r="N85" s="19">
        <v>44378</v>
      </c>
      <c r="O85" s="19">
        <v>44409</v>
      </c>
      <c r="P85" s="19">
        <v>44440</v>
      </c>
      <c r="Q85" s="19">
        <v>44470</v>
      </c>
      <c r="R85" s="19">
        <v>44501</v>
      </c>
      <c r="S85" s="19">
        <v>44531</v>
      </c>
      <c r="T85" s="18"/>
      <c r="U85" s="17">
        <v>2021</v>
      </c>
    </row>
    <row r="86" spans="2:23" ht="5.0999999999999996" customHeight="1">
      <c r="B86" s="16"/>
      <c r="C86" s="15"/>
      <c r="D86" s="15"/>
      <c r="E86" s="15"/>
      <c r="H86" s="14"/>
      <c r="I86" s="14"/>
      <c r="J86" s="14"/>
      <c r="K86" s="14"/>
      <c r="L86" s="14"/>
      <c r="M86" s="14"/>
      <c r="N86" s="14"/>
      <c r="O86" s="14"/>
      <c r="P86" s="14"/>
      <c r="Q86" s="14"/>
      <c r="R86" s="14"/>
      <c r="S86" s="14"/>
      <c r="U86" s="14"/>
    </row>
    <row r="87" spans="2:23" ht="5.0999999999999996" customHeight="1">
      <c r="B87" s="16"/>
      <c r="C87" s="15"/>
      <c r="D87" s="15"/>
      <c r="E87" s="15"/>
      <c r="H87" s="14"/>
      <c r="I87" s="14"/>
      <c r="J87" s="14"/>
      <c r="K87" s="14"/>
      <c r="L87" s="14"/>
      <c r="M87" s="14"/>
      <c r="N87" s="14"/>
      <c r="O87" s="14"/>
      <c r="P87" s="14"/>
      <c r="Q87" s="14"/>
      <c r="R87" s="14"/>
      <c r="S87" s="14"/>
      <c r="U87" s="14"/>
    </row>
    <row r="88" spans="2:23" ht="17.45" customHeight="1">
      <c r="B88" s="31" t="s">
        <v>152</v>
      </c>
      <c r="C88" s="31"/>
      <c r="D88" s="31"/>
      <c r="E88" s="31"/>
      <c r="H88" s="32"/>
      <c r="I88" s="32"/>
      <c r="J88" s="32"/>
      <c r="K88" s="32"/>
      <c r="L88" s="32"/>
      <c r="M88" s="32"/>
      <c r="N88" s="32"/>
      <c r="O88" s="32"/>
      <c r="P88" s="32">
        <v>274481</v>
      </c>
      <c r="Q88" s="32">
        <v>539588.08453587198</v>
      </c>
      <c r="R88" s="32">
        <v>563607.94999999995</v>
      </c>
      <c r="S88" s="32">
        <v>578980</v>
      </c>
      <c r="U88" s="32">
        <v>1956657.0345358718</v>
      </c>
      <c r="W88" s="41">
        <f>SUM(H88:U88)-SUM(H89:U91)</f>
        <v>0</v>
      </c>
    </row>
    <row r="89" spans="2:23" ht="17.45" customHeight="1">
      <c r="B89" s="33" t="s">
        <v>151</v>
      </c>
      <c r="C89" s="33"/>
      <c r="D89" s="33"/>
      <c r="E89" s="33"/>
      <c r="H89" s="34"/>
      <c r="I89" s="34"/>
      <c r="J89" s="34"/>
      <c r="K89" s="34"/>
      <c r="L89" s="34"/>
      <c r="M89" s="34"/>
      <c r="N89" s="34"/>
      <c r="O89" s="34"/>
      <c r="P89" s="34">
        <v>182770</v>
      </c>
      <c r="Q89" s="34">
        <v>314980.83950024098</v>
      </c>
      <c r="R89" s="34">
        <v>328961</v>
      </c>
      <c r="S89" s="34">
        <v>320558</v>
      </c>
      <c r="U89" s="34">
        <v>1147269.839500241</v>
      </c>
      <c r="W89" s="41"/>
    </row>
    <row r="90" spans="2:23" ht="17.45" customHeight="1">
      <c r="B90" s="33" t="s">
        <v>150</v>
      </c>
      <c r="C90" s="33"/>
      <c r="D90" s="33"/>
      <c r="E90" s="33"/>
      <c r="H90" s="34"/>
      <c r="I90" s="34"/>
      <c r="J90" s="34"/>
      <c r="K90" s="34"/>
      <c r="L90" s="34"/>
      <c r="M90" s="34"/>
      <c r="N90" s="34"/>
      <c r="O90" s="34"/>
      <c r="P90" s="34">
        <v>91711</v>
      </c>
      <c r="Q90" s="34">
        <v>224607.245035631</v>
      </c>
      <c r="R90" s="34">
        <v>234646.94999999998</v>
      </c>
      <c r="S90" s="34">
        <v>258422</v>
      </c>
      <c r="U90" s="34">
        <v>809387.19503563095</v>
      </c>
      <c r="W90" s="41"/>
    </row>
    <row r="91" spans="2:23" ht="17.45" customHeight="1">
      <c r="B91" s="33" t="s">
        <v>149</v>
      </c>
      <c r="C91" s="33"/>
      <c r="D91" s="33"/>
      <c r="E91" s="33"/>
      <c r="H91" s="34"/>
      <c r="I91" s="34"/>
      <c r="J91" s="34"/>
      <c r="K91" s="34"/>
      <c r="L91" s="34"/>
      <c r="M91" s="34"/>
      <c r="N91" s="34"/>
      <c r="O91" s="34"/>
      <c r="P91" s="34"/>
      <c r="Q91" s="34"/>
      <c r="R91" s="34"/>
      <c r="S91" s="34"/>
      <c r="U91" s="34"/>
      <c r="W91" s="41"/>
    </row>
    <row r="92" spans="2:23" ht="17.45" customHeight="1">
      <c r="B92" s="31" t="s">
        <v>148</v>
      </c>
      <c r="C92" s="31"/>
      <c r="D92" s="31"/>
      <c r="E92" s="31"/>
      <c r="H92" s="32"/>
      <c r="I92" s="32"/>
      <c r="J92" s="32"/>
      <c r="K92" s="32"/>
      <c r="L92" s="32"/>
      <c r="M92" s="32"/>
      <c r="N92" s="32"/>
      <c r="O92" s="32">
        <v>22387.230000000003</v>
      </c>
      <c r="P92" s="32">
        <v>12682.730000000007</v>
      </c>
      <c r="Q92" s="32">
        <v>7543.9999999999982</v>
      </c>
      <c r="R92" s="32">
        <v>7835.3699999999953</v>
      </c>
      <c r="S92" s="32">
        <v>9646</v>
      </c>
      <c r="U92" s="32">
        <v>60095.33</v>
      </c>
      <c r="W92" s="41">
        <f>SUM(H92:U92)-SUM(H93:U94)</f>
        <v>0</v>
      </c>
    </row>
    <row r="93" spans="2:23" ht="17.45" customHeight="1">
      <c r="B93" s="33" t="s">
        <v>147</v>
      </c>
      <c r="C93" s="33"/>
      <c r="D93" s="33"/>
      <c r="E93" s="33"/>
      <c r="H93" s="34"/>
      <c r="I93" s="34"/>
      <c r="J93" s="34"/>
      <c r="K93" s="34"/>
      <c r="L93" s="34"/>
      <c r="M93" s="34"/>
      <c r="N93" s="34"/>
      <c r="O93" s="34"/>
      <c r="P93" s="34"/>
      <c r="Q93" s="34"/>
      <c r="R93" s="34"/>
      <c r="S93" s="34"/>
      <c r="U93" s="34"/>
      <c r="W93" s="41"/>
    </row>
    <row r="94" spans="2:23" ht="17.45" customHeight="1">
      <c r="B94" s="33" t="s">
        <v>146</v>
      </c>
      <c r="C94" s="33"/>
      <c r="D94" s="33"/>
      <c r="E94" s="33"/>
      <c r="H94" s="34"/>
      <c r="I94" s="34"/>
      <c r="J94" s="34"/>
      <c r="K94" s="34"/>
      <c r="L94" s="34"/>
      <c r="M94" s="34"/>
      <c r="N94" s="34"/>
      <c r="O94" s="34">
        <v>22387.230000000003</v>
      </c>
      <c r="P94" s="34">
        <v>12682.730000000007</v>
      </c>
      <c r="Q94" s="34">
        <v>7543.9999999999982</v>
      </c>
      <c r="R94" s="34">
        <v>7835.3699999999953</v>
      </c>
      <c r="S94" s="34">
        <v>9646</v>
      </c>
      <c r="U94" s="34">
        <v>60095.33</v>
      </c>
      <c r="W94" s="41"/>
    </row>
    <row r="95" spans="2:23" ht="17.45" customHeight="1">
      <c r="B95" s="31" t="s">
        <v>145</v>
      </c>
      <c r="C95" s="31"/>
      <c r="D95" s="31"/>
      <c r="E95" s="31"/>
      <c r="H95" s="32"/>
      <c r="I95" s="32"/>
      <c r="J95" s="32"/>
      <c r="K95" s="32"/>
      <c r="L95" s="32"/>
      <c r="M95" s="32"/>
      <c r="N95" s="32"/>
      <c r="O95" s="32">
        <v>-8682.19</v>
      </c>
      <c r="P95" s="32">
        <v>-32747.279999999995</v>
      </c>
      <c r="Q95" s="32">
        <v>-51095.340000000004</v>
      </c>
      <c r="R95" s="32">
        <v>-50288.319999999992</v>
      </c>
      <c r="S95" s="32">
        <v>-50341</v>
      </c>
      <c r="U95" s="32">
        <v>-188530.02000000002</v>
      </c>
      <c r="W95" s="41">
        <f>SUM(H95:U95)-SUM(H96:U96)</f>
        <v>0</v>
      </c>
    </row>
    <row r="96" spans="2:23" ht="17.45" customHeight="1">
      <c r="B96" s="33" t="s">
        <v>144</v>
      </c>
      <c r="C96" s="33"/>
      <c r="D96" s="33"/>
      <c r="E96" s="33"/>
      <c r="H96" s="34"/>
      <c r="I96" s="34"/>
      <c r="J96" s="34"/>
      <c r="K96" s="34"/>
      <c r="L96" s="34"/>
      <c r="M96" s="34"/>
      <c r="N96" s="34"/>
      <c r="O96" s="34">
        <v>-8682.19</v>
      </c>
      <c r="P96" s="34">
        <v>-32747.279999999995</v>
      </c>
      <c r="Q96" s="34">
        <v>-51095.340000000004</v>
      </c>
      <c r="R96" s="34">
        <v>-50288.319999999992</v>
      </c>
      <c r="S96" s="34">
        <v>-50341</v>
      </c>
      <c r="U96" s="34">
        <v>-188530.02000000002</v>
      </c>
      <c r="W96" s="41"/>
    </row>
    <row r="97" spans="2:23" ht="17.45" customHeight="1">
      <c r="B97" s="31" t="s">
        <v>143</v>
      </c>
      <c r="C97" s="31"/>
      <c r="D97" s="31"/>
      <c r="E97" s="31"/>
      <c r="H97" s="32"/>
      <c r="I97" s="32"/>
      <c r="J97" s="32"/>
      <c r="K97" s="32"/>
      <c r="L97" s="32"/>
      <c r="M97" s="32"/>
      <c r="N97" s="32"/>
      <c r="O97" s="32">
        <v>13705.040000000003</v>
      </c>
      <c r="P97" s="32">
        <v>254416.44999999998</v>
      </c>
      <c r="Q97" s="32">
        <v>496036.74453587196</v>
      </c>
      <c r="R97" s="32">
        <v>521154.99999999994</v>
      </c>
      <c r="S97" s="32">
        <v>538285</v>
      </c>
      <c r="U97" s="32">
        <v>1828222.3445358719</v>
      </c>
      <c r="W97" s="41">
        <f>SUM(H88:U88,H92:U92,H95:U95)-SUM(H97:U97)</f>
        <v>0</v>
      </c>
    </row>
    <row r="98" spans="2:23" ht="17.45" customHeight="1">
      <c r="B98" s="35" t="s">
        <v>142</v>
      </c>
      <c r="C98" s="35"/>
      <c r="D98" s="35"/>
      <c r="E98" s="35"/>
      <c r="H98" s="36"/>
      <c r="I98" s="36"/>
      <c r="J98" s="36"/>
      <c r="K98" s="36"/>
      <c r="L98" s="36"/>
      <c r="M98" s="36"/>
      <c r="N98" s="36"/>
      <c r="O98" s="36">
        <v>13705.040000000003</v>
      </c>
      <c r="P98" s="36">
        <v>254417.11</v>
      </c>
      <c r="Q98" s="36">
        <v>486968.71240928298</v>
      </c>
      <c r="R98" s="36">
        <v>521155.38</v>
      </c>
      <c r="S98" s="36">
        <v>538285</v>
      </c>
      <c r="U98" s="36">
        <v>1814531.2424092828</v>
      </c>
    </row>
    <row r="99" spans="2:23" ht="17.45" customHeight="1">
      <c r="B99" s="37" t="s">
        <v>141</v>
      </c>
      <c r="C99" s="37"/>
      <c r="D99" s="37"/>
      <c r="E99" s="37"/>
      <c r="H99" s="38"/>
      <c r="I99" s="38"/>
      <c r="J99" s="38"/>
      <c r="K99" s="38"/>
      <c r="L99" s="38"/>
      <c r="M99" s="38"/>
      <c r="N99" s="38"/>
      <c r="O99" s="38">
        <v>4.2496248062015513E-3</v>
      </c>
      <c r="P99" s="38">
        <v>7.8888821705426354E-2</v>
      </c>
      <c r="Q99" s="38">
        <v>9.8713780007138693E-2</v>
      </c>
      <c r="R99" s="38">
        <v>0.10371243781094526</v>
      </c>
      <c r="S99" s="38">
        <v>0.10712139303482587</v>
      </c>
      <c r="U99" s="38">
        <v>7.9986449314268043E-2</v>
      </c>
    </row>
    <row r="100" spans="2:23" ht="17.45" customHeight="1">
      <c r="B100" s="37" t="s">
        <v>140</v>
      </c>
      <c r="C100" s="37"/>
      <c r="D100" s="37"/>
      <c r="E100" s="37"/>
      <c r="H100" s="38"/>
      <c r="I100" s="38"/>
      <c r="J100" s="38"/>
      <c r="K100" s="38"/>
      <c r="L100" s="38"/>
      <c r="M100" s="38"/>
      <c r="N100" s="38"/>
      <c r="O100" s="38">
        <v>4.2496248062015513E-3</v>
      </c>
      <c r="P100" s="38">
        <v>7.8889026356589148E-2</v>
      </c>
      <c r="Q100" s="38">
        <v>0.10306216135646201</v>
      </c>
      <c r="R100" s="38">
        <v>0.10371251343283582</v>
      </c>
      <c r="S100" s="38">
        <v>0.10712139303482587</v>
      </c>
      <c r="U100" s="38">
        <v>7.9406943797382876E-2</v>
      </c>
    </row>
    <row r="101" spans="2:23" ht="17.45" customHeight="1">
      <c r="B101" s="37" t="s">
        <v>139</v>
      </c>
      <c r="C101" s="37"/>
      <c r="D101" s="37"/>
      <c r="E101" s="37"/>
      <c r="H101" s="40"/>
      <c r="I101" s="39"/>
      <c r="J101" s="39"/>
      <c r="K101" s="39"/>
      <c r="L101" s="39"/>
      <c r="M101" s="39"/>
      <c r="N101" s="39"/>
      <c r="O101" s="39"/>
      <c r="P101" s="39"/>
      <c r="Q101" s="39"/>
      <c r="R101" s="39" t="s">
        <v>42</v>
      </c>
      <c r="S101" s="39">
        <v>10.23</v>
      </c>
      <c r="U101" s="39" t="s">
        <v>137</v>
      </c>
    </row>
    <row r="102" spans="2:23" ht="17.45" customHeight="1">
      <c r="B102" s="37" t="s">
        <v>138</v>
      </c>
      <c r="C102" s="37"/>
      <c r="D102" s="37"/>
      <c r="E102" s="37"/>
      <c r="H102" s="39"/>
      <c r="I102" s="39"/>
      <c r="J102" s="39"/>
      <c r="K102" s="39"/>
      <c r="L102" s="39"/>
      <c r="M102" s="39"/>
      <c r="N102" s="39"/>
      <c r="O102" s="39"/>
      <c r="P102" s="39"/>
      <c r="Q102" s="39"/>
      <c r="R102" s="39">
        <v>10</v>
      </c>
      <c r="S102" s="39">
        <v>10</v>
      </c>
      <c r="U102" s="39" t="s">
        <v>137</v>
      </c>
    </row>
    <row r="103" spans="2:23" ht="24" customHeight="1">
      <c r="H103" s="13"/>
      <c r="I103" s="13"/>
      <c r="J103" s="13"/>
      <c r="K103" s="13"/>
      <c r="L103" s="13"/>
      <c r="M103" s="13"/>
    </row>
  </sheetData>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Capa</vt:lpstr>
      <vt:lpstr>Portfólio</vt:lpstr>
      <vt:lpstr>Resultado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Fábio Garbossa</dc:creator>
  <cp:lastModifiedBy>Rafael Sinetti</cp:lastModifiedBy>
  <dcterms:created xsi:type="dcterms:W3CDTF">2024-07-11T19:55:40Z</dcterms:created>
  <dcterms:modified xsi:type="dcterms:W3CDTF">2025-08-29T22:51:44Z</dcterms:modified>
</cp:coreProperties>
</file>