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Ex1.xml" ContentType="application/vnd.ms-office.chartex+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G:\Drives compartilhados\Gestao\Imobiliário\Fundos\Papel\EQIR11\2025\Maio\Relatório Gerencial\Publicado\"/>
    </mc:Choice>
  </mc:AlternateContent>
  <xr:revisionPtr revIDLastSave="0" documentId="13_ncr:1_{EC54B18B-44EE-46C7-ADDD-BA058195CC91}" xr6:coauthVersionLast="47" xr6:coauthVersionMax="47" xr10:uidLastSave="{00000000-0000-0000-0000-000000000000}"/>
  <bookViews>
    <workbookView xWindow="20370" yWindow="-120" windowWidth="29040" windowHeight="15720" xr2:uid="{8ED7DAB6-4B17-4306-BB9A-67589D0FBCEA}"/>
  </bookViews>
  <sheets>
    <sheet name="Capa" sheetId="1" r:id="rId1"/>
    <sheet name="Portfólio" sheetId="2" r:id="rId2"/>
    <sheet name="Resultado" sheetId="3" r:id="rId3"/>
  </sheets>
  <definedNames>
    <definedName name="_xlchart.v6.0" hidden="1">Portfólio!$F$134</definedName>
    <definedName name="_xlchart.v6.1" hidden="1">Portfólio!$F$135:$F$145</definedName>
    <definedName name="_xlchart.v6.2" hidden="1">Portfólio!$H$135:$H$145</definedName>
    <definedName name="_xlchart.v6.3" hidden="1">Portfólio!$H$136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3" l="1"/>
  <c r="K16" i="3"/>
  <c r="K12" i="3"/>
  <c r="K21" i="3" l="1"/>
  <c r="B129" i="2" l="1"/>
  <c r="C129" i="2"/>
  <c r="D129" i="2"/>
  <c r="E129" i="2"/>
  <c r="F129" i="2"/>
  <c r="G129" i="2"/>
  <c r="H129" i="2"/>
  <c r="I129" i="2"/>
  <c r="J129" i="2"/>
  <c r="K129" i="2"/>
  <c r="L129" i="2"/>
  <c r="B130" i="2"/>
  <c r="G130" i="2" s="1"/>
  <c r="C130" i="2"/>
  <c r="D130" i="2"/>
  <c r="E130" i="2"/>
  <c r="F130" i="2"/>
  <c r="K130" i="2"/>
  <c r="B131" i="2"/>
  <c r="D131" i="2" s="1"/>
  <c r="C131" i="2"/>
  <c r="J131" i="2"/>
  <c r="K131" i="2"/>
  <c r="L130" i="2" l="1"/>
  <c r="J130" i="2"/>
  <c r="G131" i="2"/>
  <c r="F131" i="2"/>
  <c r="I130" i="2"/>
  <c r="H131" i="2"/>
  <c r="E131" i="2"/>
  <c r="H130" i="2"/>
  <c r="I131" i="2"/>
  <c r="L131" i="2"/>
  <c r="K46" i="2"/>
  <c r="L46" i="2"/>
  <c r="J19" i="3" l="1"/>
  <c r="J16" i="3"/>
  <c r="J12" i="3"/>
  <c r="J21" i="3" s="1"/>
  <c r="I19" i="3" l="1"/>
  <c r="I16" i="3"/>
  <c r="I12" i="3"/>
  <c r="I21" i="3" l="1"/>
  <c r="H19" i="3"/>
  <c r="H16" i="3"/>
  <c r="H12" i="3"/>
  <c r="I9" i="3"/>
  <c r="J9" i="3" s="1"/>
  <c r="K9" i="3" s="1"/>
  <c r="L9" i="3" s="1"/>
  <c r="M9" i="3" s="1"/>
  <c r="N9" i="3" s="1"/>
  <c r="O9" i="3" s="1"/>
  <c r="P9" i="3" s="1"/>
  <c r="Q9" i="3" s="1"/>
  <c r="R9" i="3" s="1"/>
  <c r="S9" i="3" s="1"/>
  <c r="U24" i="3"/>
  <c r="U23" i="3"/>
  <c r="U22" i="3"/>
  <c r="U20" i="3"/>
  <c r="U18" i="3"/>
  <c r="U17" i="3"/>
  <c r="U15" i="3"/>
  <c r="U14" i="3"/>
  <c r="U13" i="3"/>
  <c r="S38" i="3"/>
  <c r="S35" i="3"/>
  <c r="S31" i="3"/>
  <c r="K128" i="2"/>
  <c r="C128" i="2"/>
  <c r="B128" i="2"/>
  <c r="G128" i="2" s="1"/>
  <c r="K127" i="2"/>
  <c r="C127" i="2"/>
  <c r="B127" i="2"/>
  <c r="J127" i="2" s="1"/>
  <c r="K126" i="2"/>
  <c r="C126" i="2"/>
  <c r="B126" i="2"/>
  <c r="J126" i="2" s="1"/>
  <c r="K125" i="2"/>
  <c r="C125" i="2"/>
  <c r="B125" i="2"/>
  <c r="H125" i="2" s="1"/>
  <c r="K124" i="2"/>
  <c r="C124" i="2"/>
  <c r="B124" i="2"/>
  <c r="J124" i="2" s="1"/>
  <c r="K123" i="2"/>
  <c r="C123" i="2"/>
  <c r="B123" i="2"/>
  <c r="J123" i="2" s="1"/>
  <c r="K122" i="2"/>
  <c r="C122" i="2"/>
  <c r="B122" i="2"/>
  <c r="I122" i="2" s="1"/>
  <c r="K121" i="2"/>
  <c r="C121" i="2"/>
  <c r="B121" i="2"/>
  <c r="L121" i="2" s="1"/>
  <c r="K120" i="2"/>
  <c r="C120" i="2"/>
  <c r="B120" i="2"/>
  <c r="L120" i="2" s="1"/>
  <c r="K119" i="2"/>
  <c r="C119" i="2"/>
  <c r="B119" i="2"/>
  <c r="J119" i="2" s="1"/>
  <c r="K118" i="2"/>
  <c r="C118" i="2"/>
  <c r="B118" i="2"/>
  <c r="J118" i="2" s="1"/>
  <c r="K117" i="2"/>
  <c r="C117" i="2"/>
  <c r="B117" i="2"/>
  <c r="H117" i="2" s="1"/>
  <c r="K116" i="2"/>
  <c r="C116" i="2"/>
  <c r="B116" i="2"/>
  <c r="J116" i="2" s="1"/>
  <c r="K115" i="2"/>
  <c r="C115" i="2"/>
  <c r="B115" i="2"/>
  <c r="J115" i="2" s="1"/>
  <c r="K114" i="2"/>
  <c r="C114" i="2"/>
  <c r="B114" i="2"/>
  <c r="I114" i="2" s="1"/>
  <c r="K113" i="2"/>
  <c r="C113" i="2"/>
  <c r="B113" i="2"/>
  <c r="L113" i="2" s="1"/>
  <c r="K112" i="2"/>
  <c r="C112" i="2"/>
  <c r="B112" i="2"/>
  <c r="L112" i="2" s="1"/>
  <c r="K111" i="2"/>
  <c r="C111" i="2"/>
  <c r="B111" i="2"/>
  <c r="J111" i="2" s="1"/>
  <c r="K110" i="2"/>
  <c r="C110" i="2"/>
  <c r="B110" i="2"/>
  <c r="J110" i="2" s="1"/>
  <c r="K109" i="2"/>
  <c r="C109" i="2"/>
  <c r="B109" i="2"/>
  <c r="H109" i="2" s="1"/>
  <c r="K108" i="2"/>
  <c r="C108" i="2"/>
  <c r="B108" i="2"/>
  <c r="J108" i="2" s="1"/>
  <c r="K107" i="2"/>
  <c r="C107" i="2"/>
  <c r="B107" i="2"/>
  <c r="J107" i="2" s="1"/>
  <c r="K106" i="2"/>
  <c r="C106" i="2"/>
  <c r="B106" i="2"/>
  <c r="I106" i="2" s="1"/>
  <c r="K105" i="2"/>
  <c r="C105" i="2"/>
  <c r="B105" i="2"/>
  <c r="L105" i="2" s="1"/>
  <c r="K104" i="2"/>
  <c r="C104" i="2"/>
  <c r="B104" i="2"/>
  <c r="L104" i="2" s="1"/>
  <c r="K103" i="2"/>
  <c r="C103" i="2"/>
  <c r="B103" i="2"/>
  <c r="J103" i="2" s="1"/>
  <c r="K102" i="2"/>
  <c r="C102" i="2"/>
  <c r="B102" i="2"/>
  <c r="J102" i="2" s="1"/>
  <c r="K101" i="2"/>
  <c r="C101" i="2"/>
  <c r="B101" i="2"/>
  <c r="H101" i="2" s="1"/>
  <c r="K100" i="2"/>
  <c r="C100" i="2"/>
  <c r="B100" i="2"/>
  <c r="J100" i="2" s="1"/>
  <c r="K99" i="2"/>
  <c r="C99" i="2"/>
  <c r="B99" i="2"/>
  <c r="J99" i="2" s="1"/>
  <c r="I104" i="2" l="1"/>
  <c r="H104" i="2"/>
  <c r="L124" i="2"/>
  <c r="G123" i="2"/>
  <c r="L123" i="2"/>
  <c r="H21" i="3"/>
  <c r="U21" i="3" s="1"/>
  <c r="H128" i="2"/>
  <c r="I99" i="2"/>
  <c r="F101" i="2"/>
  <c r="G126" i="2"/>
  <c r="I128" i="2"/>
  <c r="L107" i="2"/>
  <c r="I115" i="2"/>
  <c r="L99" i="2"/>
  <c r="H123" i="2"/>
  <c r="F104" i="2"/>
  <c r="I102" i="2"/>
  <c r="G104" i="2"/>
  <c r="I123" i="2"/>
  <c r="D102" i="2"/>
  <c r="F120" i="2"/>
  <c r="D127" i="2"/>
  <c r="I108" i="2"/>
  <c r="G107" i="2"/>
  <c r="F115" i="2"/>
  <c r="I116" i="2"/>
  <c r="G120" i="2"/>
  <c r="F127" i="2"/>
  <c r="F112" i="2"/>
  <c r="I117" i="2"/>
  <c r="D115" i="2"/>
  <c r="D116" i="2"/>
  <c r="F102" i="2"/>
  <c r="G102" i="2"/>
  <c r="H107" i="2"/>
  <c r="L108" i="2"/>
  <c r="G115" i="2"/>
  <c r="I124" i="2"/>
  <c r="D126" i="2"/>
  <c r="D103" i="2"/>
  <c r="H102" i="2"/>
  <c r="I107" i="2"/>
  <c r="H115" i="2"/>
  <c r="L116" i="2"/>
  <c r="F126" i="2"/>
  <c r="H103" i="2"/>
  <c r="D110" i="2"/>
  <c r="G112" i="2"/>
  <c r="F110" i="2"/>
  <c r="F118" i="2"/>
  <c r="H119" i="2"/>
  <c r="H120" i="2"/>
  <c r="D100" i="2"/>
  <c r="F99" i="2"/>
  <c r="I100" i="2"/>
  <c r="I101" i="2"/>
  <c r="G110" i="2"/>
  <c r="I112" i="2"/>
  <c r="G118" i="2"/>
  <c r="I119" i="2"/>
  <c r="I120" i="2"/>
  <c r="F125" i="2"/>
  <c r="H126" i="2"/>
  <c r="H127" i="2"/>
  <c r="D107" i="2"/>
  <c r="G99" i="2"/>
  <c r="L103" i="2"/>
  <c r="G109" i="2"/>
  <c r="H110" i="2"/>
  <c r="L115" i="2"/>
  <c r="H118" i="2"/>
  <c r="I125" i="2"/>
  <c r="I126" i="2"/>
  <c r="I127" i="2"/>
  <c r="D111" i="2"/>
  <c r="G101" i="2"/>
  <c r="G106" i="2"/>
  <c r="D99" i="2"/>
  <c r="I103" i="2"/>
  <c r="H111" i="2"/>
  <c r="H112" i="2"/>
  <c r="G114" i="2"/>
  <c r="F109" i="2"/>
  <c r="I111" i="2"/>
  <c r="H99" i="2"/>
  <c r="L100" i="2"/>
  <c r="L102" i="2"/>
  <c r="F107" i="2"/>
  <c r="D108" i="2"/>
  <c r="I109" i="2"/>
  <c r="I110" i="2"/>
  <c r="L111" i="2"/>
  <c r="F117" i="2"/>
  <c r="I118" i="2"/>
  <c r="L119" i="2"/>
  <c r="F123" i="2"/>
  <c r="D124" i="2"/>
  <c r="D118" i="2"/>
  <c r="L126" i="2"/>
  <c r="L127" i="2"/>
  <c r="D119" i="2"/>
  <c r="L110" i="2"/>
  <c r="L118" i="2"/>
  <c r="D123" i="2"/>
  <c r="E109" i="2"/>
  <c r="E110" i="2"/>
  <c r="E102" i="2"/>
  <c r="E125" i="2"/>
  <c r="E101" i="2"/>
  <c r="E127" i="2"/>
  <c r="E128" i="2"/>
  <c r="E100" i="2"/>
  <c r="E126" i="2"/>
  <c r="E103" i="2"/>
  <c r="E116" i="2"/>
  <c r="E108" i="2"/>
  <c r="S40" i="3"/>
  <c r="U19" i="3"/>
  <c r="W19" i="3" s="1"/>
  <c r="U12" i="3"/>
  <c r="W12" i="3" s="1"/>
  <c r="J114" i="2"/>
  <c r="J125" i="2"/>
  <c r="J104" i="2"/>
  <c r="G113" i="2"/>
  <c r="J128" i="2"/>
  <c r="J122" i="2"/>
  <c r="J101" i="2"/>
  <c r="J117" i="2"/>
  <c r="F121" i="2"/>
  <c r="F100" i="2"/>
  <c r="F108" i="2"/>
  <c r="J112" i="2"/>
  <c r="D114" i="2"/>
  <c r="L114" i="2"/>
  <c r="F124" i="2"/>
  <c r="G100" i="2"/>
  <c r="D101" i="2"/>
  <c r="L101" i="2"/>
  <c r="F103" i="2"/>
  <c r="H105" i="2"/>
  <c r="G108" i="2"/>
  <c r="D109" i="2"/>
  <c r="L109" i="2"/>
  <c r="F111" i="2"/>
  <c r="H113" i="2"/>
  <c r="G116" i="2"/>
  <c r="D117" i="2"/>
  <c r="L117" i="2"/>
  <c r="F119" i="2"/>
  <c r="H121" i="2"/>
  <c r="G124" i="2"/>
  <c r="D125" i="2"/>
  <c r="L125" i="2"/>
  <c r="J106" i="2"/>
  <c r="F105" i="2"/>
  <c r="J109" i="2"/>
  <c r="F113" i="2"/>
  <c r="G105" i="2"/>
  <c r="D106" i="2"/>
  <c r="L106" i="2"/>
  <c r="F116" i="2"/>
  <c r="J120" i="2"/>
  <c r="G121" i="2"/>
  <c r="D122" i="2"/>
  <c r="L122" i="2"/>
  <c r="H100" i="2"/>
  <c r="G103" i="2"/>
  <c r="D104" i="2"/>
  <c r="I105" i="2"/>
  <c r="F106" i="2"/>
  <c r="H108" i="2"/>
  <c r="G111" i="2"/>
  <c r="D112" i="2"/>
  <c r="I113" i="2"/>
  <c r="F114" i="2"/>
  <c r="H116" i="2"/>
  <c r="G119" i="2"/>
  <c r="D120" i="2"/>
  <c r="I121" i="2"/>
  <c r="F122" i="2"/>
  <c r="H124" i="2"/>
  <c r="G127" i="2"/>
  <c r="D128" i="2"/>
  <c r="L128" i="2"/>
  <c r="J105" i="2"/>
  <c r="J113" i="2"/>
  <c r="J121" i="2"/>
  <c r="G122" i="2"/>
  <c r="H114" i="2"/>
  <c r="G117" i="2"/>
  <c r="H122" i="2"/>
  <c r="G125" i="2"/>
  <c r="F128" i="2"/>
  <c r="H106" i="2"/>
  <c r="D105" i="2"/>
  <c r="D113" i="2"/>
  <c r="D121" i="2"/>
  <c r="E112" i="2" l="1"/>
  <c r="E115" i="2"/>
  <c r="E106" i="2"/>
  <c r="E99" i="2"/>
  <c r="E113" i="2"/>
  <c r="E121" i="2"/>
  <c r="E105" i="2"/>
  <c r="E117" i="2"/>
  <c r="E119" i="2"/>
  <c r="E124" i="2"/>
  <c r="E122" i="2"/>
  <c r="E111" i="2"/>
  <c r="E107" i="2"/>
  <c r="E114" i="2"/>
  <c r="E118" i="2"/>
  <c r="E120" i="2"/>
  <c r="E104" i="2"/>
  <c r="E123" i="2"/>
  <c r="C98" i="2"/>
  <c r="B98" i="2"/>
  <c r="D98" i="2" s="1"/>
  <c r="U43" i="3"/>
  <c r="U42" i="3"/>
  <c r="U41" i="3"/>
  <c r="U39" i="3"/>
  <c r="U37" i="3"/>
  <c r="U36" i="3"/>
  <c r="U34" i="3"/>
  <c r="U33" i="3"/>
  <c r="U32" i="3"/>
  <c r="R38" i="3"/>
  <c r="R35" i="3"/>
  <c r="Q35" i="3"/>
  <c r="R31" i="3"/>
  <c r="Q38" i="3"/>
  <c r="Q31" i="3"/>
  <c r="K98" i="2"/>
  <c r="K137" i="2" l="1"/>
  <c r="U35" i="3"/>
  <c r="L98" i="2"/>
  <c r="U31" i="3"/>
  <c r="U38" i="3"/>
  <c r="R40" i="3"/>
  <c r="Q40" i="3"/>
  <c r="U40" i="3" l="1"/>
  <c r="E98" i="2"/>
  <c r="K135" i="2" s="1"/>
  <c r="W97" i="3" l="1"/>
  <c r="W95" i="3"/>
  <c r="W92" i="3"/>
  <c r="W88" i="3"/>
  <c r="W69" i="3"/>
  <c r="W78" i="3"/>
  <c r="W76" i="3"/>
  <c r="W73" i="3"/>
  <c r="W50" i="3"/>
  <c r="W59" i="3"/>
  <c r="W57" i="3"/>
  <c r="W54" i="3"/>
  <c r="W40" i="3"/>
  <c r="W38" i="3"/>
  <c r="W35" i="3"/>
  <c r="W31" i="3"/>
  <c r="F98" i="2"/>
  <c r="G98" i="2"/>
  <c r="H98" i="2"/>
  <c r="N135" i="2" l="1"/>
  <c r="N142" i="2"/>
  <c r="H135" i="2"/>
  <c r="H145" i="2"/>
  <c r="Q136" i="2"/>
  <c r="Q137" i="2"/>
  <c r="Q135" i="2"/>
  <c r="N140" i="2"/>
  <c r="K136" i="2"/>
  <c r="H144" i="2"/>
  <c r="H137" i="2" l="1"/>
  <c r="N141" i="2"/>
  <c r="N137" i="2"/>
  <c r="N139" i="2"/>
  <c r="N138" i="2"/>
  <c r="N136" i="2"/>
  <c r="H143" i="2"/>
  <c r="H136" i="2"/>
  <c r="H138" i="2"/>
  <c r="H139" i="2"/>
  <c r="H140" i="2"/>
  <c r="Q138" i="2"/>
  <c r="H141" i="2"/>
  <c r="H142" i="2"/>
  <c r="I98" i="2" l="1"/>
  <c r="C135" i="2" l="1"/>
  <c r="C143" i="2" l="1"/>
  <c r="C140" i="2"/>
  <c r="C137" i="2"/>
  <c r="C139" i="2"/>
  <c r="C141" i="2"/>
  <c r="C136" i="2"/>
  <c r="C142" i="2"/>
  <c r="C138" i="2"/>
  <c r="J98" i="2" l="1"/>
  <c r="D142" i="2" l="1"/>
  <c r="D139" i="2"/>
  <c r="D136" i="2"/>
  <c r="D141" i="2"/>
  <c r="D137" i="2"/>
  <c r="D138" i="2"/>
  <c r="D135" i="2"/>
  <c r="D140" i="2"/>
  <c r="D143" i="2"/>
  <c r="U16" i="3" l="1"/>
  <c r="W21" i="3" s="1"/>
  <c r="W16" i="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0">
    <bk>
      <extLst>
        <ext uri="{3e2802c4-a4d2-4d8b-9148-e3be6c30e623}">
          <xlrd:rvb i="0"/>
        </ext>
      </extLst>
    </bk>
    <bk>
      <extLst>
        <ext uri="{3e2802c4-a4d2-4d8b-9148-e3be6c30e623}">
          <xlrd:rvb i="10"/>
        </ext>
      </extLst>
    </bk>
    <bk>
      <extLst>
        <ext uri="{3e2802c4-a4d2-4d8b-9148-e3be6c30e623}">
          <xlrd:rvb i="19"/>
        </ext>
      </extLst>
    </bk>
    <bk>
      <extLst>
        <ext uri="{3e2802c4-a4d2-4d8b-9148-e3be6c30e623}">
          <xlrd:rvb i="28"/>
        </ext>
      </extLst>
    </bk>
    <bk>
      <extLst>
        <ext uri="{3e2802c4-a4d2-4d8b-9148-e3be6c30e623}">
          <xlrd:rvb i="38"/>
        </ext>
      </extLst>
    </bk>
    <bk>
      <extLst>
        <ext uri="{3e2802c4-a4d2-4d8b-9148-e3be6c30e623}">
          <xlrd:rvb i="50"/>
        </ext>
      </extLst>
    </bk>
    <bk>
      <extLst>
        <ext uri="{3e2802c4-a4d2-4d8b-9148-e3be6c30e623}">
          <xlrd:rvb i="59"/>
        </ext>
      </extLst>
    </bk>
    <bk>
      <extLst>
        <ext uri="{3e2802c4-a4d2-4d8b-9148-e3be6c30e623}">
          <xlrd:rvb i="68"/>
        </ext>
      </extLst>
    </bk>
    <bk>
      <extLst>
        <ext uri="{3e2802c4-a4d2-4d8b-9148-e3be6c30e623}">
          <xlrd:rvb i="77"/>
        </ext>
      </extLst>
    </bk>
    <bk>
      <extLst>
        <ext uri="{3e2802c4-a4d2-4d8b-9148-e3be6c30e623}">
          <xlrd:rvb i="86"/>
        </ext>
      </extLst>
    </bk>
  </future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<sst xmlns="http://schemas.openxmlformats.org/spreadsheetml/2006/main" count="524" uniqueCount="225">
  <si>
    <t>Investidores em geral</t>
  </si>
  <si>
    <t>Público alvo:</t>
  </si>
  <si>
    <t>Indeterminado</t>
  </si>
  <si>
    <t>Prazo:</t>
  </si>
  <si>
    <t>TVM Gestão Ativa - Títulos e Valores Mobiliários</t>
  </si>
  <si>
    <t>Tipo Anbima:</t>
  </si>
  <si>
    <t>2 emissões de cotas realizadas</t>
  </si>
  <si>
    <t>Ofertas concluídas</t>
  </si>
  <si>
    <t>Não possuí</t>
  </si>
  <si>
    <t>Taxa de Performance:</t>
  </si>
  <si>
    <t>Taxa de Adminstração:</t>
  </si>
  <si>
    <t>Gestora:</t>
  </si>
  <si>
    <t>Adminstradora:</t>
  </si>
  <si>
    <t>Agosto de 2021</t>
  </si>
  <si>
    <t>Início das atividades:</t>
  </si>
  <si>
    <t>INFORMAÇÕES GERAIS</t>
  </si>
  <si>
    <t xml:space="preserve">Poderão integrar o patrimônio do fundo i) Certificados de Recebíveis Imobiliários (CRI); ii) Letras de Crédito Imobiliário (LCI); Letras Hipotecárias (LH); Letras Imobiliárias Garantidas (LIG); Cotas de outros Fundos de Investimento Imobiliário (FII); e Cotas de Fundos de Investimento em Direitos Creditórios (FIDC) que tenham como política de investimento, exclusivamente, atividades permitidas aos FII e desde que as cotas tenham sido objeto de oferta pública registrada na CVM ou cujo registro tenha sido dispensado nos termos da regulamentação em vigor. </t>
  </si>
  <si>
    <t>POLÍTICA DE INVESTIMENTOS</t>
  </si>
  <si>
    <t>OBJETIVO DO FUNDO</t>
  </si>
  <si>
    <t>EQI Recebíveis Imobiliários FII - EQIR11</t>
  </si>
  <si>
    <t>PE</t>
  </si>
  <si>
    <t>Varejo</t>
  </si>
  <si>
    <t>PA</t>
  </si>
  <si>
    <t>RS</t>
  </si>
  <si>
    <t>2033+</t>
  </si>
  <si>
    <t>Home Equity</t>
  </si>
  <si>
    <t>RJ</t>
  </si>
  <si>
    <t>Outros</t>
  </si>
  <si>
    <t>MT</t>
  </si>
  <si>
    <t>DF</t>
  </si>
  <si>
    <t>Loteamento</t>
  </si>
  <si>
    <t>SC</t>
  </si>
  <si>
    <t>76% - 100%</t>
  </si>
  <si>
    <t>Residencial</t>
  </si>
  <si>
    <t>GO</t>
  </si>
  <si>
    <t>51% - 75%</t>
  </si>
  <si>
    <t>Energia</t>
  </si>
  <si>
    <t>MG</t>
  </si>
  <si>
    <t>26% - 50%</t>
  </si>
  <si>
    <t>Corporativo</t>
  </si>
  <si>
    <t xml:space="preserve">CDI </t>
  </si>
  <si>
    <t>Pulverizado</t>
  </si>
  <si>
    <t>-</t>
  </si>
  <si>
    <t>0% - 25%</t>
  </si>
  <si>
    <t>Galpões Logísticos</t>
  </si>
  <si>
    <t>IPCA</t>
  </si>
  <si>
    <t>SP</t>
  </si>
  <si>
    <t>LTV</t>
  </si>
  <si>
    <t>Segmento</t>
  </si>
  <si>
    <t>Indexador</t>
  </si>
  <si>
    <t>Localização</t>
  </si>
  <si>
    <t>Duration</t>
  </si>
  <si>
    <t>Vencimento</t>
  </si>
  <si>
    <t>Ano</t>
  </si>
  <si>
    <t>21L0354209</t>
  </si>
  <si>
    <t>23B0493519</t>
  </si>
  <si>
    <t>23G0006401</t>
  </si>
  <si>
    <t>21I0912120</t>
  </si>
  <si>
    <t>21D0779652</t>
  </si>
  <si>
    <t>21D0402879</t>
  </si>
  <si>
    <t>21F0568989</t>
  </si>
  <si>
    <t>20K0568000</t>
  </si>
  <si>
    <t>21H0001405</t>
  </si>
  <si>
    <t>23C2831601</t>
  </si>
  <si>
    <t>21E0665350</t>
  </si>
  <si>
    <t>20K0696607</t>
  </si>
  <si>
    <t>21H0748795</t>
  </si>
  <si>
    <t>21B0631104</t>
  </si>
  <si>
    <t>20G0926014</t>
  </si>
  <si>
    <t>23G2304202</t>
  </si>
  <si>
    <t>22K1685406</t>
  </si>
  <si>
    <t>23L1199759</t>
  </si>
  <si>
    <t>21H0891311</t>
  </si>
  <si>
    <t>24A2806776</t>
  </si>
  <si>
    <t>21H0888186</t>
  </si>
  <si>
    <t>23J1338137</t>
  </si>
  <si>
    <t>21L0355178</t>
  </si>
  <si>
    <t>23H1104566</t>
  </si>
  <si>
    <t>23I1816075</t>
  </si>
  <si>
    <t>23I1257019</t>
  </si>
  <si>
    <t>23G0006601</t>
  </si>
  <si>
    <t>Indexadores</t>
  </si>
  <si>
    <t>Segmentos</t>
  </si>
  <si>
    <t>Emissores</t>
  </si>
  <si>
    <t>% de CRIs</t>
  </si>
  <si>
    <t>% do PL</t>
  </si>
  <si>
    <t>Devedor</t>
  </si>
  <si>
    <t>IF</t>
  </si>
  <si>
    <t>IPCA +</t>
  </si>
  <si>
    <t>Tesouro Nacional</t>
  </si>
  <si>
    <t>Cx.</t>
  </si>
  <si>
    <t>VRTM11</t>
  </si>
  <si>
    <t>FII</t>
  </si>
  <si>
    <t>True</t>
  </si>
  <si>
    <t>Viracopos</t>
  </si>
  <si>
    <t>CRI</t>
  </si>
  <si>
    <t>Canal</t>
  </si>
  <si>
    <t>ForGreen</t>
  </si>
  <si>
    <t>Habitat</t>
  </si>
  <si>
    <t>Ore</t>
  </si>
  <si>
    <t>Minas Brisa</t>
  </si>
  <si>
    <t>Opea</t>
  </si>
  <si>
    <t>Virgo</t>
  </si>
  <si>
    <t>Wimo</t>
  </si>
  <si>
    <t>Pontte</t>
  </si>
  <si>
    <t>Pulverizado Ore</t>
  </si>
  <si>
    <t>Sinal</t>
  </si>
  <si>
    <t>Casa &amp; Vídeo</t>
  </si>
  <si>
    <t>CDI +</t>
  </si>
  <si>
    <t>Teriva</t>
  </si>
  <si>
    <t>Travessia</t>
  </si>
  <si>
    <t>Solfarma</t>
  </si>
  <si>
    <t>Pague Menos</t>
  </si>
  <si>
    <t>CK</t>
  </si>
  <si>
    <t>Sotreq</t>
  </si>
  <si>
    <t>Habitasec</t>
  </si>
  <si>
    <t>Quero Quero</t>
  </si>
  <si>
    <t>Caprem</t>
  </si>
  <si>
    <t>Diferencial</t>
  </si>
  <si>
    <t>Urba</t>
  </si>
  <si>
    <t>Lote5</t>
  </si>
  <si>
    <t>RCP</t>
  </si>
  <si>
    <t>Opy</t>
  </si>
  <si>
    <t>Brasol</t>
  </si>
  <si>
    <t>Lotus</t>
  </si>
  <si>
    <t>CitLog Varginha</t>
  </si>
  <si>
    <t>Estado</t>
  </si>
  <si>
    <t>% dos CRIs</t>
  </si>
  <si>
    <t>% da Carteira</t>
  </si>
  <si>
    <t>Saldo MTM
(R$)</t>
  </si>
  <si>
    <t>Taxa MTM</t>
  </si>
  <si>
    <t>Taxa Aquisição</t>
  </si>
  <si>
    <t>Index</t>
  </si>
  <si>
    <t>Emissor</t>
  </si>
  <si>
    <t xml:space="preserve">Setor de Atuação </t>
  </si>
  <si>
    <t>Código</t>
  </si>
  <si>
    <t>Ativo</t>
  </si>
  <si>
    <t>n/a</t>
  </si>
  <si>
    <t>Cota Mercado</t>
  </si>
  <si>
    <t>Cota Patrimonial</t>
  </si>
  <si>
    <t>Rendimento / Cota</t>
  </si>
  <si>
    <t>Resultado / Cota</t>
  </si>
  <si>
    <t>Rendimento</t>
  </si>
  <si>
    <t>Resultado Operacional</t>
  </si>
  <si>
    <t>Despesas Operacionais</t>
  </si>
  <si>
    <t>Total de Despesas</t>
  </si>
  <si>
    <t>Renda Fixa</t>
  </si>
  <si>
    <t>Fundos Imobiliários</t>
  </si>
  <si>
    <t>Outras Receitas</t>
  </si>
  <si>
    <t>CRI - Negociação</t>
  </si>
  <si>
    <t>CRI - Correção Monetária</t>
  </si>
  <si>
    <t>CRI - Juros</t>
  </si>
  <si>
    <t>Receita Operacional</t>
  </si>
  <si>
    <t>EQI Recebíveis Imobiliários 2021</t>
  </si>
  <si>
    <t>EQI Recebíveis Imobiliários 2022</t>
  </si>
  <si>
    <t>EQI Recebíveis Imobiliários 2023</t>
  </si>
  <si>
    <t>EQI Recebíveis Imobiliários 2024</t>
  </si>
  <si>
    <r>
      <t xml:space="preserve">O </t>
    </r>
    <r>
      <rPr>
        <b/>
        <sz val="12"/>
        <color rgb="FF6D6E70"/>
        <rFont val="Compasse"/>
        <family val="2"/>
      </rPr>
      <t xml:space="preserve">EQI Recebíveis Imobiliários FII </t>
    </r>
    <r>
      <rPr>
        <sz val="12"/>
        <color rgb="FF6D6E70"/>
        <rFont val="Compasse"/>
        <family val="2"/>
      </rPr>
      <t>tem como objetivo investir majoritariamente em Certificados de Recebíveis Imobiliários (“CRI”), compondo um portfólio com risco de crédito moderado e rentabilidade alvo de IPCA + 8% ao ano líquido de custos.</t>
    </r>
  </si>
  <si>
    <t>BTG Pactual Serviços Financeiros S.A. DTVM</t>
  </si>
  <si>
    <t>EuQueroInvestir Gestão de Recursos Ltda. (“EQI Asset”)</t>
  </si>
  <si>
    <t>A Taxa de Administração será equivalente a 1,00% (um inteiro por cento) ao ano, à razão de 1/12 avos, calculado sobre o valor contábil do patrimônio líquido do fundo</t>
  </si>
  <si>
    <t>PORTFÓLIO DO FUNDO</t>
  </si>
  <si>
    <t>DRE GERENCIAL</t>
  </si>
  <si>
    <t>Descrição</t>
  </si>
  <si>
    <t>Garantias</t>
  </si>
  <si>
    <t>Operação com risco de crédito da construtora e incorporadora Habitat e baseada em 8 projetos, sendo 3 residenciais, 1 escritório e 4 loteamentos.</t>
  </si>
  <si>
    <t>AF, AF de cotas, CF, FR, FD e Aval</t>
  </si>
  <si>
    <t>CRI baseado em um galpão logístico localizado em Varginha-MG, locado para empresas do ramo logístico, automotivo e farmacêutico através de contratos típicos e atípicos. O CRI conta com garantia do ativo logístico.</t>
  </si>
  <si>
    <t>AF e FD</t>
  </si>
  <si>
    <t>Operação com risco de crédito da construtora e incorporadora Lotus e baseada em 7 projetos, sendo 5 residenciais e 2 escritórios.</t>
  </si>
  <si>
    <t>AF, CF, FR, FD e Aval</t>
  </si>
  <si>
    <t>CRI baseado em 3 usinas de geração solar distribuída desenvolvidas pelo Grupo Oeste. O CRI conta com garantia de subordinação da Brasol.</t>
  </si>
  <si>
    <t>AF, CF, FR, FD e Subordinação</t>
  </si>
  <si>
    <t>CRI baseado em centro logístico localizado em Itupeva-SP, locado para empresas do ramo de construção civil, comércio eletrônico e embalagens. O CRI conta com garantia do ativo logístico.</t>
  </si>
  <si>
    <t>CRI baseado em 9 usinas de geração solar distribuída desenvolvidas pela ForGreen.</t>
  </si>
  <si>
    <t>CRI baseado no Hospital Metropolitano Dr. Célio de Castro localizado em Belo Horizonte-MG. O CRI conta com garantia do aval da Opy Health.</t>
  </si>
  <si>
    <t>CF, FR, FD e Aval</t>
  </si>
  <si>
    <t>CRI baseado em centro logístico localizado em Rio Claro-SP, locado para empresas do ramo automotivo, alimentício, logístico, industrial, construção civil e eletrodomésticos. O CRI conta com garantia do ativo logístico.</t>
  </si>
  <si>
    <t>AF, CF, FR e Aval</t>
  </si>
  <si>
    <t>CRI baseado em 2 loteamentos em desenvolvimento em Campinas-SP pela incorporadora e loteadora Lote5. O CRI conta com garantia do terreno dos projetos.</t>
  </si>
  <si>
    <t>CRI baseado em uma carteira de recebíveis de loteamentos originada pela Urba. O CRI conta com garantia de subordinação da Urba. A parcela adquirida tem natureza mezanino na estrutura de subordinação dessa operação.</t>
  </si>
  <si>
    <t>CRI baseado em 3 usinas de geração solar distribuída desenvolvidas pela KWP Energia e Diferencial Energia.</t>
  </si>
  <si>
    <t xml:space="preserve">CRI baseado em projeto residencial em desenvolvimento localizado em Rio Claro-SP. </t>
  </si>
  <si>
    <t>AF, CF, FR e Fiança</t>
  </si>
  <si>
    <t>CRI baseado em um galpão logístico localizado em Sapiranga-RS, locado para a Quero Quero. O CRI conta com garantia do ativo logístico.</t>
  </si>
  <si>
    <t>CRI baseado em um galpão logístico localizado em Parauapebas-PA, locado para a Sotreq. O CRI conta com garantia do ativo logístico.</t>
  </si>
  <si>
    <t xml:space="preserve">CRI baseado em projeto residencial em desenvolvimento localizado na Praia Brava em Itajaí-SC. </t>
  </si>
  <si>
    <t>CRI baseado em 6 usinas de geração solar distribuída desenvolvidas pela Brasol para atender a rede de farmácias Pague Menos.</t>
  </si>
  <si>
    <t>AF, AF de cotas, CF e FR</t>
  </si>
  <si>
    <t>CRI baseado em um galpão logístico localizado em Bebedouro-SP, locado para a Solfarma Distribuidora. O CRI conta com garantia do ativo logístico.</t>
  </si>
  <si>
    <t>AF, CF, FR e FD</t>
  </si>
  <si>
    <t>CRI baseado em 2 loteamentos localizados em Bragança Paulista e Atibaia-SP.</t>
  </si>
  <si>
    <t>AF de cotas, CF, FR, FD e Aval</t>
  </si>
  <si>
    <t>Operação com risco de crédito da varejista Casa e Vídeo.</t>
  </si>
  <si>
    <t>CF</t>
  </si>
  <si>
    <t>Operação com risco de crédito da rede de concessionárias Grupo Sinal, com garantia de galpão logístico localizado em São Caetano do Sul-SP, locado para o Grupo entre outros imóveis que perfazem 160% do saldo devedor.</t>
  </si>
  <si>
    <t>AF, FR e Fiança</t>
  </si>
  <si>
    <t>CRI baseado em uma carteira de recebíveis de financiamentos garantidos por imóveis residenciais, originada pelas construtoras e incorporadoras Helbor, Setin e Ekko e pela Faria Lima Capital. A parcela adquirida tem natureza sênior na estrutura de subordinação da operação.</t>
  </si>
  <si>
    <t>AF, FD e Subordinação</t>
  </si>
  <si>
    <t>CRI baseado em uma carteira de recebíveis de empréstimos garantidos por imóveis residenciais (“Home Equity”), originada pela Pontte. A carteira que lastreia o CRI é muito diversificada e com LTV baixo (~40%). A parcela adquirida tem natureza sênior na estrutura de subordinação da operação.</t>
  </si>
  <si>
    <t>AF, FR, FD e Subordinação</t>
  </si>
  <si>
    <t>CRI baseado em uma carteira de recebíveis de empréstimos garantidos por imóveis residenciais (“Home Equity”), originada pela Wimo. A carteira que lastreia o CRI é muito diversificada e com LTV baixo (~30%). A parcela adquirida tem natureza sênior na estrutura de subordinação da operação.</t>
  </si>
  <si>
    <t xml:space="preserve">CRI baseado em projeto residencial em desenvolvimento localizado em Nova Lima-MG. </t>
  </si>
  <si>
    <t>CRI baseado em uma carteira de recebíveis de empréstimos garantidos por imóveis residenciais (“Home Equity”), originada pela Creditas. A carteira que lastreia o CRI é muito diversificada e com LTV baixo (~40%). A parcela adquirida tem natureza sênior na estrutura de subordinação da operação.</t>
  </si>
  <si>
    <t xml:space="preserve">CRI baseado em 2 projetos residenciais em desenvolvimento localizados em Blumenau e Porto Belo-SC. </t>
  </si>
  <si>
    <t>23J2272828</t>
  </si>
  <si>
    <t>PHV</t>
  </si>
  <si>
    <t>21L0355069</t>
  </si>
  <si>
    <t xml:space="preserve">CRI baseado em projeto residencial em desenvolvimento localizado em Belo Horizonte-MG. </t>
  </si>
  <si>
    <t>24L1567363</t>
  </si>
  <si>
    <t>DUE</t>
  </si>
  <si>
    <t>CRI baseado em projeto residencial em desenvolvimento localizado em Tamandaré-PE.</t>
  </si>
  <si>
    <t>EQI Recebíveis Imobiliários 2025</t>
  </si>
  <si>
    <t>25C3605714</t>
  </si>
  <si>
    <t>Lotus II</t>
  </si>
  <si>
    <t>24L2720216</t>
  </si>
  <si>
    <t>Gt Urbanismo</t>
  </si>
  <si>
    <t>Pré</t>
  </si>
  <si>
    <t>20J0837185</t>
  </si>
  <si>
    <t>Creditas</t>
  </si>
  <si>
    <t>Vert</t>
  </si>
  <si>
    <t>23D1293668</t>
  </si>
  <si>
    <t>MS Incorporadora</t>
  </si>
  <si>
    <t xml:space="preserve">Operação com risco de crédito da construtora e incorporadora Lotus baseado na conta vinculada do BRB para o Lotus Tower </t>
  </si>
  <si>
    <t>CRI baseado em 3 loteamentos, sendo um em Goiânia e dois em Cuiabá.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</si>
</sst>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0_ ;\-#,##0.00\ "/>
    <numFmt numFmtId="165" formatCode="0.0%"/>
    <numFmt numFmtId="166" formatCode="_(* #,##0.00_);_(* \(#,##0.00\);_(* &quot;-&quot;??_);_(@_)"/>
    <numFmt numFmtId="167" formatCode="#,##0_ ;\-#,##0\ "/>
    <numFmt numFmtId="168" formatCode="[$-416]mmm\-yy;@"/>
    <numFmt numFmtId="169" formatCode="_(* #,##0_);_(* \(#,##0\);_(* &quot;-&quot;??_);_(@_)"/>
    <numFmt numFmtId="170" formatCode="0.000"/>
    <numFmt numFmtId="171" formatCode="mmm\-yy"/>
    <numFmt numFmtId="172" formatCode="#,##0.0"/>
    <numFmt numFmtId="173" formatCode="0.0000"/>
    <numFmt numFmtId="174" formatCode="_-* #,##0.0_-;\-* #,##0.0_-;_-* &quot;-&quot;??_-;_-@_-"/>
  </numFmts>
  <fonts count="32">
    <font>
      <sz val="11"/>
      <color theme="1"/>
      <name val="Aptos Narrow"/>
      <family val="2"/>
      <scheme val="minor"/>
    </font>
    <font>
      <sz val="11"/>
      <color theme="1"/>
      <name val="Aptos Narrow"/>
      <family val="2"/>
      <scheme val="minor"/>
    </font>
    <font>
      <sz val="11"/>
      <color theme="1"/>
      <name val="Compasse"/>
      <family val="2"/>
    </font>
    <font>
      <sz val="12"/>
      <color rgb="FF6D6E70"/>
      <name val="Compasse"/>
      <family val="2"/>
    </font>
    <font>
      <b/>
      <sz val="12"/>
      <color theme="2" tint="-0.749992370372631"/>
      <name val="Compasse"/>
      <family val="2"/>
    </font>
    <font>
      <sz val="10"/>
      <color theme="1"/>
      <name val="Compasse"/>
      <family val="2"/>
    </font>
    <font>
      <sz val="14"/>
      <color rgb="FF0A4263"/>
      <name val="Compasse"/>
      <family val="2"/>
    </font>
    <font>
      <b/>
      <sz val="12"/>
      <color rgb="FF6D6E70"/>
      <name val="Compasse"/>
      <family val="2"/>
    </font>
    <font>
      <b/>
      <sz val="12"/>
      <color rgb="FF0A4263"/>
      <name val="Compasse"/>
      <family val="2"/>
    </font>
    <font>
      <b/>
      <sz val="16"/>
      <color rgb="FF0A4263"/>
      <name val="Compasse"/>
      <family val="2"/>
    </font>
    <font>
      <sz val="10"/>
      <name val="Arial"/>
      <family val="2"/>
    </font>
    <font>
      <sz val="10"/>
      <color theme="1"/>
      <name val="Aptos Narrow"/>
      <family val="2"/>
      <scheme val="minor"/>
    </font>
    <font>
      <sz val="10"/>
      <color rgb="FF004263"/>
      <name val="Compasse Light"/>
      <family val="2"/>
    </font>
    <font>
      <b/>
      <sz val="10"/>
      <color rgb="FF474644"/>
      <name val="Compasse"/>
      <family val="2"/>
    </font>
    <font>
      <b/>
      <sz val="12"/>
      <color theme="0"/>
      <name val="Compasse"/>
      <family val="2"/>
    </font>
    <font>
      <sz val="12"/>
      <color theme="1"/>
      <name val="Aptos Narrow"/>
      <family val="2"/>
      <scheme val="minor"/>
    </font>
    <font>
      <sz val="11"/>
      <color theme="0"/>
      <name val="Aptos Narrow"/>
      <family val="2"/>
      <scheme val="minor"/>
    </font>
    <font>
      <b/>
      <sz val="9"/>
      <color rgb="FFFFFFFF"/>
      <name val="Compasse"/>
    </font>
    <font>
      <sz val="9"/>
      <color rgb="FF635C56"/>
      <name val="Compasse"/>
    </font>
    <font>
      <b/>
      <sz val="10"/>
      <color rgb="FF404040"/>
      <name val="Compasse"/>
      <family val="2"/>
    </font>
    <font>
      <sz val="10"/>
      <color rgb="FF404040"/>
      <name val="Compasse Light"/>
      <family val="2"/>
    </font>
    <font>
      <b/>
      <sz val="10"/>
      <color rgb="FF0A4263"/>
      <name val="Compasse"/>
      <family val="2"/>
    </font>
    <font>
      <sz val="11"/>
      <color rgb="FFFF0000"/>
      <name val="Compasse"/>
      <family val="2"/>
    </font>
    <font>
      <sz val="11"/>
      <name val="Aptos Narrow"/>
      <family val="2"/>
      <scheme val="minor"/>
    </font>
    <font>
      <sz val="11"/>
      <name val="Segoe UI"/>
      <family val="2"/>
    </font>
    <font>
      <sz val="11"/>
      <color rgb="FFFF0000"/>
      <name val="Aptos Narrow"/>
      <family val="2"/>
      <scheme val="minor"/>
    </font>
    <font>
      <sz val="11"/>
      <color rgb="FFFF0000"/>
      <name val="Segoe UI"/>
      <family val="2"/>
    </font>
    <font>
      <sz val="9"/>
      <color rgb="FF635C56"/>
      <name val="Segoe UI"/>
    </font>
    <font>
      <b/>
      <sz val="12"/>
      <color theme="0"/>
      <name val="Segoe UI"/>
      <family val="2"/>
    </font>
    <font>
      <sz val="11"/>
      <color theme="0"/>
      <name val="Segoe UI"/>
      <family val="2"/>
    </font>
    <font>
      <sz val="9"/>
      <color theme="0"/>
      <name val="Segoe UI"/>
      <family val="2"/>
    </font>
    <font>
      <sz val="12"/>
      <color theme="0"/>
      <name val="Segoe UI"/>
      <family val="2"/>
    </font>
  </fonts>
  <fills count="5">
    <fill>
      <patternFill patternType="none"/>
    </fill>
    <fill>
      <patternFill patternType="gray125"/>
    </fill>
    <fill>
      <patternFill patternType="solid">
        <fgColor rgb="FF003768"/>
        <bgColor indexed="64"/>
      </patternFill>
    </fill>
    <fill>
      <patternFill patternType="solid">
        <fgColor rgb="FFF2F2F2"/>
        <bgColor indexed="64"/>
      </patternFill>
    </fill>
    <fill>
      <patternFill patternType="solid">
        <fgColor rgb="FF004263"/>
        <bgColor indexed="64"/>
      </patternFill>
    </fill>
  </fills>
  <borders count="5">
    <border>
      <left/>
      <right/>
      <top/>
      <bottom/>
      <diagonal/>
    </border>
    <border>
      <left/>
      <right/>
      <top style="dashed">
        <color theme="0" tint="-0.24994659260841701"/>
      </top>
      <bottom style="dashed">
        <color theme="0" tint="-0.24994659260841701"/>
      </bottom>
      <diagonal/>
    </border>
    <border>
      <left/>
      <right/>
      <top/>
      <bottom style="dashed">
        <color theme="0" tint="-0.24994659260841701"/>
      </bottom>
      <diagonal/>
    </border>
    <border>
      <left/>
      <right/>
      <top/>
      <bottom style="dashed">
        <color rgb="FFBFBFBF"/>
      </bottom>
      <diagonal/>
    </border>
    <border>
      <left/>
      <right/>
      <top style="dashed">
        <color rgb="FFBFBFBF"/>
      </top>
      <bottom style="dashed">
        <color rgb="FFBFBFBF"/>
      </bottom>
      <diagonal/>
    </border>
  </borders>
  <cellStyleXfs count="6">
    <xf numFmtId="0" fontId="0" fillId="0" borderId="0"/>
    <xf numFmtId="9" fontId="1" fillId="0" borderId="0" applyFont="0" applyFill="0" applyBorder="0" applyAlignment="0" applyProtection="0"/>
    <xf numFmtId="166" fontId="10" fillId="0" borderId="0" applyFont="0" applyFill="0" applyBorder="0" applyAlignment="0" applyProtection="0"/>
    <xf numFmtId="0" fontId="10" fillId="0" borderId="0"/>
    <xf numFmtId="0" fontId="10" fillId="0" borderId="0"/>
    <xf numFmtId="43" fontId="1" fillId="0" borderId="0" applyFont="0" applyFill="0" applyBorder="0" applyAlignment="0" applyProtection="0"/>
  </cellStyleXfs>
  <cellXfs count="81">
    <xf numFmtId="0" fontId="0" fillId="0" borderId="0" xfId="0"/>
    <xf numFmtId="0" fontId="2" fillId="0" borderId="0" xfId="0" applyFont="1"/>
    <xf numFmtId="0" fontId="3" fillId="0" borderId="0" xfId="0" applyFont="1"/>
    <xf numFmtId="0" fontId="4" fillId="0" borderId="0" xfId="0" applyFont="1"/>
    <xf numFmtId="164" fontId="5" fillId="0" borderId="0" xfId="0" applyNumberFormat="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6" fillId="0" borderId="0" xfId="0" applyFont="1"/>
    <xf numFmtId="0" fontId="2" fillId="0" borderId="0" xfId="0" applyFont="1" applyAlignment="1">
      <alignment horizontal="left"/>
    </xf>
    <xf numFmtId="0" fontId="0" fillId="0" borderId="0" xfId="0" applyAlignment="1">
      <alignment horizontal="left"/>
    </xf>
    <xf numFmtId="0" fontId="8" fillId="0" borderId="0" xfId="0" applyFont="1"/>
    <xf numFmtId="0" fontId="9" fillId="0" borderId="0" xfId="0" applyFont="1"/>
    <xf numFmtId="164" fontId="11" fillId="0" borderId="0" xfId="0" applyNumberFormat="1" applyFont="1" applyAlignment="1">
      <alignment horizontal="center" vertical="center"/>
    </xf>
    <xf numFmtId="169" fontId="12" fillId="0" borderId="0" xfId="2" applyNumberFormat="1" applyFont="1" applyAlignment="1">
      <alignment horizontal="center" vertical="center"/>
    </xf>
    <xf numFmtId="164" fontId="13" fillId="0" borderId="0" xfId="2" applyNumberFormat="1" applyFont="1" applyAlignment="1">
      <alignment horizontal="center" vertical="center"/>
    </xf>
    <xf numFmtId="164" fontId="13" fillId="0" borderId="0" xfId="3" applyNumberFormat="1" applyFont="1" applyAlignment="1">
      <alignment horizontal="center" vertical="center"/>
    </xf>
    <xf numFmtId="164" fontId="13" fillId="0" borderId="0" xfId="3" applyNumberFormat="1" applyFont="1" applyAlignment="1">
      <alignment horizontal="left" vertical="center" indent="1"/>
    </xf>
    <xf numFmtId="1" fontId="14" fillId="4" borderId="0" xfId="4" quotePrefix="1" applyNumberFormat="1" applyFont="1" applyFill="1" applyAlignment="1">
      <alignment horizontal="center" vertical="center"/>
    </xf>
    <xf numFmtId="164" fontId="15" fillId="0" borderId="0" xfId="0" applyNumberFormat="1" applyFont="1" applyAlignment="1">
      <alignment horizontal="center" vertical="center"/>
    </xf>
    <xf numFmtId="171" fontId="14" fillId="4" borderId="0" xfId="4" quotePrefix="1" applyNumberFormat="1" applyFont="1" applyFill="1" applyAlignment="1">
      <alignment horizontal="center" vertical="center"/>
    </xf>
    <xf numFmtId="164" fontId="14" fillId="4" borderId="0" xfId="3" applyNumberFormat="1" applyFont="1" applyFill="1" applyAlignment="1">
      <alignment horizontal="center" vertical="center"/>
    </xf>
    <xf numFmtId="164" fontId="14" fillId="4" borderId="0" xfId="3" applyNumberFormat="1" applyFont="1" applyFill="1" applyAlignment="1">
      <alignment horizontal="left" vertical="center" indent="1"/>
    </xf>
    <xf numFmtId="0" fontId="16" fillId="0" borderId="0" xfId="0" applyFont="1"/>
    <xf numFmtId="0" fontId="17" fillId="2" borderId="0" xfId="0" applyFont="1" applyFill="1" applyAlignment="1">
      <alignment horizontal="center" vertical="center" wrapText="1" readingOrder="1"/>
    </xf>
    <xf numFmtId="3" fontId="17" fillId="2" borderId="0" xfId="0" applyNumberFormat="1" applyFont="1" applyFill="1" applyAlignment="1">
      <alignment horizontal="center" vertical="center" wrapText="1" readingOrder="1"/>
    </xf>
    <xf numFmtId="0" fontId="18" fillId="0" borderId="2" xfId="0" applyFont="1" applyBorder="1" applyAlignment="1">
      <alignment horizontal="center" vertical="center" wrapText="1" readingOrder="1"/>
    </xf>
    <xf numFmtId="0" fontId="18" fillId="0" borderId="1" xfId="0" applyFont="1" applyBorder="1" applyAlignment="1">
      <alignment horizontal="center" vertical="center" wrapText="1" readingOrder="1"/>
    </xf>
    <xf numFmtId="10" fontId="17" fillId="2" borderId="0" xfId="1" applyNumberFormat="1" applyFont="1" applyFill="1" applyAlignment="1">
      <alignment horizontal="center" vertical="center" wrapText="1" readingOrder="1"/>
    </xf>
    <xf numFmtId="165" fontId="17" fillId="2" borderId="0" xfId="0" applyNumberFormat="1" applyFont="1" applyFill="1" applyAlignment="1">
      <alignment horizontal="center" vertical="center" wrapText="1" readingOrder="1"/>
    </xf>
    <xf numFmtId="9" fontId="17" fillId="2" borderId="0" xfId="0" applyNumberFormat="1" applyFont="1" applyFill="1" applyAlignment="1">
      <alignment horizontal="center" vertical="center" wrapText="1" readingOrder="1"/>
    </xf>
    <xf numFmtId="168" fontId="17" fillId="2" borderId="0" xfId="0" applyNumberFormat="1" applyFont="1" applyFill="1" applyAlignment="1">
      <alignment horizontal="center" vertical="center" wrapText="1" readingOrder="1"/>
    </xf>
    <xf numFmtId="0" fontId="19" fillId="3" borderId="0" xfId="0" applyFont="1" applyFill="1" applyAlignment="1">
      <alignment vertical="center"/>
    </xf>
    <xf numFmtId="3" fontId="19" fillId="3" borderId="0" xfId="0" applyNumberFormat="1" applyFont="1" applyFill="1" applyAlignment="1">
      <alignment horizontal="center" vertical="center"/>
    </xf>
    <xf numFmtId="0" fontId="20" fillId="0" borderId="0" xfId="0" applyFont="1" applyAlignment="1">
      <alignment horizontal="left" vertical="center" indent="1"/>
    </xf>
    <xf numFmtId="3" fontId="20" fillId="0" borderId="0" xfId="0" applyNumberFormat="1" applyFont="1" applyAlignment="1">
      <alignment horizontal="center" vertical="center"/>
    </xf>
    <xf numFmtId="0" fontId="19" fillId="0" borderId="0" xfId="0" applyFont="1" applyAlignment="1">
      <alignment vertical="center"/>
    </xf>
    <xf numFmtId="3" fontId="19" fillId="0" borderId="0" xfId="0" applyNumberFormat="1" applyFont="1" applyAlignment="1">
      <alignment horizontal="center" vertical="center"/>
    </xf>
    <xf numFmtId="0" fontId="21" fillId="3" borderId="0" xfId="0" applyFont="1" applyFill="1" applyAlignment="1">
      <alignment vertical="center"/>
    </xf>
    <xf numFmtId="170" fontId="21" fillId="3" borderId="0" xfId="0" applyNumberFormat="1" applyFont="1" applyFill="1" applyAlignment="1">
      <alignment horizontal="center" vertical="center"/>
    </xf>
    <xf numFmtId="2" fontId="21" fillId="3" borderId="0" xfId="0" applyNumberFormat="1" applyFont="1" applyFill="1" applyAlignment="1">
      <alignment horizontal="center" vertical="center"/>
    </xf>
    <xf numFmtId="4" fontId="21" fillId="3" borderId="0" xfId="0" applyNumberFormat="1" applyFont="1" applyFill="1" applyAlignment="1">
      <alignment horizontal="center" vertical="center"/>
    </xf>
    <xf numFmtId="43" fontId="5" fillId="0" borderId="0" xfId="5" applyFont="1" applyAlignment="1">
      <alignment horizontal="center" vertical="center"/>
    </xf>
    <xf numFmtId="172" fontId="17" fillId="2" borderId="0" xfId="0" applyNumberFormat="1" applyFont="1" applyFill="1" applyAlignment="1">
      <alignment horizontal="center" vertical="center" wrapText="1" readingOrder="1"/>
    </xf>
    <xf numFmtId="43" fontId="2" fillId="0" borderId="0" xfId="5" applyFont="1"/>
    <xf numFmtId="173" fontId="21" fillId="3" borderId="0" xfId="0" applyNumberFormat="1" applyFont="1" applyFill="1" applyAlignment="1">
      <alignment horizontal="center" vertical="center"/>
    </xf>
    <xf numFmtId="174" fontId="2" fillId="0" borderId="0" xfId="0" applyNumberFormat="1" applyFont="1"/>
    <xf numFmtId="0" fontId="22" fillId="0" borderId="0" xfId="0" applyFont="1"/>
    <xf numFmtId="0" fontId="23" fillId="0" borderId="0" xfId="0" applyFont="1"/>
    <xf numFmtId="0" fontId="24" fillId="0" borderId="0" xfId="0" applyFont="1" applyAlignment="1">
      <alignment horizontal="center"/>
    </xf>
    <xf numFmtId="165" fontId="17" fillId="2" borderId="0" xfId="1" applyNumberFormat="1" applyFont="1" applyFill="1" applyAlignment="1">
      <alignment horizontal="center" vertical="center" wrapText="1" readingOrder="1"/>
    </xf>
    <xf numFmtId="0" fontId="25" fillId="0" borderId="0" xfId="0" applyFont="1"/>
    <xf numFmtId="0" fontId="26" fillId="0" borderId="0" xfId="0" applyFont="1" applyAlignment="1">
      <alignment horizontal="center"/>
    </xf>
    <xf numFmtId="0" fontId="27" fillId="0" borderId="3" xfId="0" applyFont="1" applyBorder="1" applyAlignment="1">
      <alignment horizontal="center" vertical="center" wrapText="1" readingOrder="1"/>
    </xf>
    <xf numFmtId="10" fontId="27" fillId="0" borderId="3" xfId="0" applyNumberFormat="1" applyFont="1" applyBorder="1" applyAlignment="1">
      <alignment horizontal="center" vertical="center" wrapText="1" readingOrder="1"/>
    </xf>
    <xf numFmtId="3" fontId="27" fillId="0" borderId="3" xfId="0" applyNumberFormat="1" applyFont="1" applyBorder="1" applyAlignment="1">
      <alignment horizontal="center" vertical="center" wrapText="1" readingOrder="1"/>
    </xf>
    <xf numFmtId="0" fontId="27" fillId="0" borderId="4" xfId="0" applyFont="1" applyBorder="1" applyAlignment="1">
      <alignment horizontal="center" vertical="center" wrapText="1" readingOrder="1"/>
    </xf>
    <xf numFmtId="10" fontId="27" fillId="0" borderId="4" xfId="0" applyNumberFormat="1" applyFont="1" applyBorder="1" applyAlignment="1">
      <alignment horizontal="center" vertical="center" wrapText="1" readingOrder="1"/>
    </xf>
    <xf numFmtId="3" fontId="27" fillId="0" borderId="4" xfId="0" applyNumberFormat="1" applyFont="1" applyBorder="1" applyAlignment="1">
      <alignment horizontal="center" vertical="center" wrapText="1" readingOrder="1"/>
    </xf>
    <xf numFmtId="165" fontId="18" fillId="0" borderId="2" xfId="1" applyNumberFormat="1" applyFont="1" applyFill="1" applyBorder="1" applyAlignment="1">
      <alignment horizontal="center" vertical="center" wrapText="1" readingOrder="1"/>
    </xf>
    <xf numFmtId="172" fontId="18" fillId="0" borderId="2" xfId="1" applyNumberFormat="1" applyFont="1" applyFill="1" applyBorder="1" applyAlignment="1">
      <alignment horizontal="center" vertical="center" wrapText="1" readingOrder="1"/>
    </xf>
    <xf numFmtId="11" fontId="27" fillId="0" borderId="4" xfId="0" applyNumberFormat="1" applyFont="1" applyBorder="1" applyAlignment="1">
      <alignment horizontal="center" vertical="center" wrapText="1" readingOrder="1"/>
    </xf>
    <xf numFmtId="0" fontId="27" fillId="3" borderId="4" xfId="0" applyFont="1" applyFill="1" applyBorder="1" applyAlignment="1">
      <alignment horizontal="center" vertical="center" wrapText="1" readingOrder="1"/>
    </xf>
    <xf numFmtId="3" fontId="27" fillId="3" borderId="4" xfId="0" applyNumberFormat="1" applyFont="1" applyFill="1" applyBorder="1" applyAlignment="1">
      <alignment horizontal="center" vertical="center" wrapText="1" readingOrder="1"/>
    </xf>
    <xf numFmtId="10" fontId="27" fillId="3" borderId="4" xfId="0" applyNumberFormat="1" applyFont="1" applyFill="1" applyBorder="1" applyAlignment="1">
      <alignment horizontal="center" vertical="center" wrapText="1" readingOrder="1"/>
    </xf>
    <xf numFmtId="0" fontId="3" fillId="0" borderId="0" xfId="0" applyFont="1" applyAlignment="1">
      <alignment horizontal="left" vertical="center" wrapText="1"/>
    </xf>
    <xf numFmtId="9" fontId="18" fillId="0" borderId="2" xfId="1" applyNumberFormat="1" applyFont="1" applyFill="1" applyBorder="1" applyAlignment="1">
      <alignment horizontal="center" vertical="center" wrapText="1" readingOrder="1"/>
    </xf>
    <xf numFmtId="9" fontId="27" fillId="3" borderId="4" xfId="0" applyNumberFormat="1" applyFont="1" applyFill="1" applyBorder="1" applyAlignment="1">
      <alignment horizontal="center" vertical="center" wrapText="1" readingOrder="1"/>
    </xf>
    <xf numFmtId="9" fontId="27" fillId="0" borderId="4" xfId="0" applyNumberFormat="1" applyFont="1" applyBorder="1" applyAlignment="1">
      <alignment horizontal="center" vertical="center" wrapText="1" readingOrder="1"/>
    </xf>
    <xf numFmtId="9" fontId="18" fillId="0" borderId="2" xfId="1" applyFont="1" applyFill="1" applyBorder="1" applyAlignment="1">
      <alignment horizontal="center" vertical="center" wrapText="1" readingOrder="1"/>
    </xf>
    <xf numFmtId="168" fontId="18" fillId="0" borderId="2" xfId="1" applyNumberFormat="1" applyFont="1" applyFill="1" applyBorder="1" applyAlignment="1">
      <alignment horizontal="center" vertical="center" wrapText="1" readingOrder="1"/>
    </xf>
    <xf numFmtId="164" fontId="28" fillId="0" borderId="0" xfId="3" applyNumberFormat="1" applyFont="1" applyAlignment="1">
      <alignment horizontal="center" vertical="center"/>
    </xf>
    <xf numFmtId="167" fontId="28" fillId="0" borderId="0" xfId="2" applyNumberFormat="1" applyFont="1" applyBorder="1" applyAlignment="1">
      <alignment horizontal="center" vertical="center"/>
    </xf>
    <xf numFmtId="167" fontId="28" fillId="0" borderId="0" xfId="2" applyNumberFormat="1" applyFont="1" applyFill="1" applyBorder="1" applyAlignment="1">
      <alignment horizontal="center" vertical="center"/>
    </xf>
    <xf numFmtId="0" fontId="29" fillId="0" borderId="0" xfId="0" applyFont="1"/>
    <xf numFmtId="0" fontId="30" fillId="0" borderId="0" xfId="0" applyFont="1" applyAlignment="1">
      <alignment horizontal="center" vertical="center" wrapText="1" readingOrder="1"/>
    </xf>
    <xf numFmtId="165" fontId="31" fillId="0" borderId="0" xfId="1" applyNumberFormat="1" applyFont="1" applyAlignment="1">
      <alignment horizontal="center" vertical="center"/>
    </xf>
    <xf numFmtId="0" fontId="29" fillId="0" borderId="0" xfId="0" applyFont="1" applyAlignment="1">
      <alignment horizontal="center"/>
    </xf>
    <xf numFmtId="0" fontId="31" fillId="0" borderId="0" xfId="0" applyFont="1" applyAlignment="1">
      <alignment horizontal="center"/>
    </xf>
    <xf numFmtId="0" fontId="31" fillId="0" borderId="0" xfId="0" applyFont="1" applyAlignment="1">
      <alignment horizontal="center" vertical="center" wrapText="1" readingOrder="1"/>
    </xf>
    <xf numFmtId="9" fontId="31" fillId="0" borderId="0" xfId="1" applyFont="1" applyAlignment="1">
      <alignment horizontal="center"/>
    </xf>
    <xf numFmtId="165" fontId="16" fillId="0" borderId="0" xfId="1" applyNumberFormat="1" applyFont="1" applyAlignment="1">
      <alignment horizontal="center"/>
    </xf>
  </cellXfs>
  <cellStyles count="6">
    <cellStyle name="Normal" xfId="0" builtinId="0"/>
    <cellStyle name="Normal 3" xfId="3" xr:uid="{66839948-7993-4FC5-97C1-1A82E0FC9E2B}"/>
    <cellStyle name="Normal_Projetos_2tri05" xfId="4" xr:uid="{8C2008AF-8F41-4589-963F-6A7D85AEFC0D}"/>
    <cellStyle name="Porcentagem" xfId="1" builtinId="5"/>
    <cellStyle name="Vírgula" xfId="5" builtinId="3"/>
    <cellStyle name="Vírgula 2" xfId="2" xr:uid="{8A39941F-757F-4BC8-880D-EB5E3FFD20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0/07/relationships/rdRichValueWebImage" Target="richData/rdRichValueWebImage.xml"/><Relationship Id="rId13" Type="http://schemas.microsoft.com/office/2017/06/relationships/rdSupportingPropertyBagStructure" Target="richData/rdsupportingpropertybagstructure.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06/relationships/richStyles" Target="richData/richStyle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Array" Target="richData/rdarray.xml"/><Relationship Id="rId5" Type="http://schemas.openxmlformats.org/officeDocument/2006/relationships/styles" Target="styles.xml"/><Relationship Id="rId15" Type="http://schemas.microsoft.com/office/2017/06/relationships/rdRichValueTypes" Target="richData/rdRichValueTyp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microsoft.com/office/2017/06/relationships/rdSupportingPropertyBag" Target="richData/rdsupportingpropertybag.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pt-BR"/>
              <a:t>% dos CRIs por Vencimento e Duration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title>
    <c:autoTitleDeleted val="0"/>
    <c:plotArea>
      <c:layout/>
      <c:barChart>
        <c:barDir val="col"/>
        <c:grouping val="clustered"/>
        <c:varyColors val="0"/>
        <c:ser>
          <c:idx val="0"/>
          <c:order val="0"/>
          <c:tx>
            <c:strRef>
              <c:f>Portfólio!$C$134</c:f>
              <c:strCache>
                <c:ptCount val="1"/>
                <c:pt idx="0">
                  <c:v>Vencimento</c:v>
                </c:pt>
              </c:strCache>
            </c:strRef>
          </c:tx>
          <c:spPr>
            <a:solidFill>
              <a:srgbClr val="1D86B5"/>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Portfólio!$B$135:$B$143</c:f>
              <c:strCache>
                <c:ptCount val="9"/>
                <c:pt idx="0">
                  <c:v>2025</c:v>
                </c:pt>
                <c:pt idx="1">
                  <c:v>2026</c:v>
                </c:pt>
                <c:pt idx="2">
                  <c:v>2027</c:v>
                </c:pt>
                <c:pt idx="3">
                  <c:v>2028</c:v>
                </c:pt>
                <c:pt idx="4">
                  <c:v>2029</c:v>
                </c:pt>
                <c:pt idx="5">
                  <c:v>2030</c:v>
                </c:pt>
                <c:pt idx="6">
                  <c:v>2031</c:v>
                </c:pt>
                <c:pt idx="7">
                  <c:v>2032</c:v>
                </c:pt>
                <c:pt idx="8">
                  <c:v>2033+</c:v>
                </c:pt>
              </c:strCache>
            </c:strRef>
          </c:cat>
          <c:val>
            <c:numRef>
              <c:f>Portfólio!$C$135:$C$143</c:f>
              <c:numCache>
                <c:formatCode>0%</c:formatCode>
                <c:ptCount val="9"/>
                <c:pt idx="0">
                  <c:v>0</c:v>
                </c:pt>
                <c:pt idx="1">
                  <c:v>8.8235294117647065E-2</c:v>
                </c:pt>
                <c:pt idx="2">
                  <c:v>5.8823529411764705E-2</c:v>
                </c:pt>
                <c:pt idx="3">
                  <c:v>0.11764705882352941</c:v>
                </c:pt>
                <c:pt idx="4">
                  <c:v>0</c:v>
                </c:pt>
                <c:pt idx="5">
                  <c:v>2.9411764705882353E-2</c:v>
                </c:pt>
                <c:pt idx="6">
                  <c:v>0.14705882352941177</c:v>
                </c:pt>
                <c:pt idx="7">
                  <c:v>8.8235294117647065E-2</c:v>
                </c:pt>
                <c:pt idx="8">
                  <c:v>0.47058823529411764</c:v>
                </c:pt>
              </c:numCache>
            </c:numRef>
          </c:val>
          <c:extLst>
            <c:ext xmlns:c16="http://schemas.microsoft.com/office/drawing/2014/chart" uri="{C3380CC4-5D6E-409C-BE32-E72D297353CC}">
              <c16:uniqueId val="{00000000-37A4-476B-BEC7-84F7A98D7414}"/>
            </c:ext>
          </c:extLst>
        </c:ser>
        <c:ser>
          <c:idx val="1"/>
          <c:order val="1"/>
          <c:tx>
            <c:strRef>
              <c:f>Portfólio!$D$134</c:f>
              <c:strCache>
                <c:ptCount val="1"/>
                <c:pt idx="0">
                  <c:v>Duration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Portfólio!$B$135:$B$143</c:f>
              <c:strCache>
                <c:ptCount val="9"/>
                <c:pt idx="0">
                  <c:v>2025</c:v>
                </c:pt>
                <c:pt idx="1">
                  <c:v>2026</c:v>
                </c:pt>
                <c:pt idx="2">
                  <c:v>2027</c:v>
                </c:pt>
                <c:pt idx="3">
                  <c:v>2028</c:v>
                </c:pt>
                <c:pt idx="4">
                  <c:v>2029</c:v>
                </c:pt>
                <c:pt idx="5">
                  <c:v>2030</c:v>
                </c:pt>
                <c:pt idx="6">
                  <c:v>2031</c:v>
                </c:pt>
                <c:pt idx="7">
                  <c:v>2032</c:v>
                </c:pt>
                <c:pt idx="8">
                  <c:v>2033+</c:v>
                </c:pt>
              </c:strCache>
            </c:strRef>
          </c:cat>
          <c:val>
            <c:numRef>
              <c:f>Portfólio!$D$135:$D$143</c:f>
              <c:numCache>
                <c:formatCode>0%</c:formatCode>
                <c:ptCount val="9"/>
                <c:pt idx="0">
                  <c:v>0</c:v>
                </c:pt>
                <c:pt idx="1">
                  <c:v>0.125</c:v>
                </c:pt>
                <c:pt idx="2">
                  <c:v>0.15625</c:v>
                </c:pt>
                <c:pt idx="3">
                  <c:v>0.40625</c:v>
                </c:pt>
                <c:pt idx="4">
                  <c:v>0.15625</c:v>
                </c:pt>
                <c:pt idx="5">
                  <c:v>6.25E-2</c:v>
                </c:pt>
                <c:pt idx="6">
                  <c:v>0.125</c:v>
                </c:pt>
                <c:pt idx="7">
                  <c:v>3.125E-2</c:v>
                </c:pt>
                <c:pt idx="8">
                  <c:v>0</c:v>
                </c:pt>
              </c:numCache>
            </c:numRef>
          </c:val>
          <c:extLst>
            <c:ext xmlns:c16="http://schemas.microsoft.com/office/drawing/2014/chart" uri="{C3380CC4-5D6E-409C-BE32-E72D297353CC}">
              <c16:uniqueId val="{00000001-37A4-476B-BEC7-84F7A98D7414}"/>
            </c:ext>
          </c:extLst>
        </c:ser>
        <c:dLbls>
          <c:showLegendKey val="0"/>
          <c:showVal val="0"/>
          <c:showCatName val="0"/>
          <c:showSerName val="0"/>
          <c:showPercent val="0"/>
          <c:showBubbleSize val="0"/>
        </c:dLbls>
        <c:gapWidth val="100"/>
        <c:overlap val="-5"/>
        <c:axId val="19988112"/>
        <c:axId val="19989072"/>
      </c:barChart>
      <c:catAx>
        <c:axId val="199881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crossAx val="19989072"/>
        <c:crosses val="autoZero"/>
        <c:auto val="1"/>
        <c:lblAlgn val="ctr"/>
        <c:lblOffset val="100"/>
        <c:tickMarkSkip val="1"/>
        <c:noMultiLvlLbl val="0"/>
      </c:catAx>
      <c:valAx>
        <c:axId val="19989072"/>
        <c:scaling>
          <c:orientation val="minMax"/>
        </c:scaling>
        <c:delete val="1"/>
        <c:axPos val="l"/>
        <c:numFmt formatCode="0%" sourceLinked="1"/>
        <c:majorTickMark val="none"/>
        <c:minorTickMark val="none"/>
        <c:tickLblPos val="nextTo"/>
        <c:crossAx val="19988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title>
    <c:autoTitleDeleted val="0"/>
    <c:plotArea>
      <c:layout>
        <c:manualLayout>
          <c:layoutTarget val="inner"/>
          <c:xMode val="edge"/>
          <c:yMode val="edge"/>
          <c:x val="0.22093569553805775"/>
          <c:y val="0.1428219494785514"/>
          <c:w val="0.59979549431321089"/>
          <c:h val="0.72175960726595878"/>
        </c:manualLayout>
      </c:layout>
      <c:pieChart>
        <c:varyColors val="1"/>
        <c:ser>
          <c:idx val="0"/>
          <c:order val="0"/>
          <c:tx>
            <c:strRef>
              <c:f>Portfólio!$K$134</c:f>
              <c:strCache>
                <c:ptCount val="1"/>
                <c:pt idx="0">
                  <c:v>Indexador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20-4B18-B2E1-7B2541AB6F79}"/>
              </c:ext>
            </c:extLst>
          </c:dPt>
          <c:dPt>
            <c:idx val="1"/>
            <c:bubble3D val="0"/>
            <c:spPr>
              <a:solidFill>
                <a:srgbClr val="1D86B5"/>
              </a:solidFill>
              <a:ln w="19050">
                <a:solidFill>
                  <a:schemeClr val="lt1"/>
                </a:solidFill>
              </a:ln>
              <a:effectLst/>
            </c:spPr>
            <c:extLst>
              <c:ext xmlns:c16="http://schemas.microsoft.com/office/drawing/2014/chart" uri="{C3380CC4-5D6E-409C-BE32-E72D297353CC}">
                <c16:uniqueId val="{00000003-3620-4B18-B2E1-7B2541AB6F7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B3E-4591-98F5-6ED9DB884775}"/>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Portfólio!$J$135:$J$137</c:f>
              <c:strCache>
                <c:ptCount val="3"/>
                <c:pt idx="0">
                  <c:v>IPCA</c:v>
                </c:pt>
                <c:pt idx="1">
                  <c:v>CDI </c:v>
                </c:pt>
                <c:pt idx="2">
                  <c:v>Pré</c:v>
                </c:pt>
              </c:strCache>
            </c:strRef>
          </c:cat>
          <c:val>
            <c:numRef>
              <c:f>Portfólio!$K$135:$K$137</c:f>
              <c:numCache>
                <c:formatCode>0%</c:formatCode>
                <c:ptCount val="3"/>
                <c:pt idx="0">
                  <c:v>0.88408811700473955</c:v>
                </c:pt>
                <c:pt idx="1">
                  <c:v>8.9487497007383635E-2</c:v>
                </c:pt>
                <c:pt idx="2">
                  <c:v>2.642438598787689E-2</c:v>
                </c:pt>
              </c:numCache>
            </c:numRef>
          </c:val>
          <c:extLst>
            <c:ext xmlns:c16="http://schemas.microsoft.com/office/drawing/2014/chart" uri="{C3380CC4-5D6E-409C-BE32-E72D297353CC}">
              <c16:uniqueId val="{00000004-3620-4B18-B2E1-7B2541AB6F7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Segoe UI" panose="020B0502040204020203" pitchFamily="34" charset="0"/>
              <a:ea typeface="+mn-ea"/>
              <a:cs typeface="Segoe UI" panose="020B0502040204020203" pitchFamily="34" charset="0"/>
            </a:defRPr>
          </a:pPr>
          <a:endParaRPr lang="pt-BR"/>
        </a:p>
      </c:txPr>
    </c:title>
    <c:autoTitleDeleted val="0"/>
    <c:plotArea>
      <c:layout/>
      <c:barChart>
        <c:barDir val="bar"/>
        <c:grouping val="clustered"/>
        <c:varyColors val="0"/>
        <c:ser>
          <c:idx val="0"/>
          <c:order val="0"/>
          <c:tx>
            <c:strRef>
              <c:f>Portfólio!$N$134</c:f>
              <c:strCache>
                <c:ptCount val="1"/>
                <c:pt idx="0">
                  <c:v>Segmento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Portfólio!$M$135:$M$143</c:f>
              <c:strCache>
                <c:ptCount val="8"/>
                <c:pt idx="0">
                  <c:v>Galpões Logísticos</c:v>
                </c:pt>
                <c:pt idx="1">
                  <c:v>Residencial</c:v>
                </c:pt>
                <c:pt idx="2">
                  <c:v>Corporativo</c:v>
                </c:pt>
                <c:pt idx="3">
                  <c:v>Energia</c:v>
                </c:pt>
                <c:pt idx="4">
                  <c:v>Loteamento</c:v>
                </c:pt>
                <c:pt idx="5">
                  <c:v>Outros</c:v>
                </c:pt>
                <c:pt idx="6">
                  <c:v>Home Equity</c:v>
                </c:pt>
                <c:pt idx="7">
                  <c:v>Varejo</c:v>
                </c:pt>
              </c:strCache>
            </c:strRef>
          </c:cat>
          <c:val>
            <c:numRef>
              <c:f>Portfólio!$N$135:$N$143</c:f>
              <c:numCache>
                <c:formatCode>0%</c:formatCode>
                <c:ptCount val="9"/>
                <c:pt idx="0">
                  <c:v>0.25316872782171262</c:v>
                </c:pt>
                <c:pt idx="1">
                  <c:v>0.17490931546287874</c:v>
                </c:pt>
                <c:pt idx="2">
                  <c:v>0.20627635051271995</c:v>
                </c:pt>
                <c:pt idx="3">
                  <c:v>0.15357557603867153</c:v>
                </c:pt>
                <c:pt idx="4">
                  <c:v>9.2698782571390886E-2</c:v>
                </c:pt>
                <c:pt idx="5">
                  <c:v>4.3316854719160219E-2</c:v>
                </c:pt>
                <c:pt idx="6">
                  <c:v>3.3530934610879463E-2</c:v>
                </c:pt>
                <c:pt idx="7">
                  <c:v>4.2523458262586696E-2</c:v>
                </c:pt>
              </c:numCache>
            </c:numRef>
          </c:val>
          <c:extLst>
            <c:ext xmlns:c16="http://schemas.microsoft.com/office/drawing/2014/chart" uri="{C3380CC4-5D6E-409C-BE32-E72D297353CC}">
              <c16:uniqueId val="{00000000-94A8-42BF-9421-52C914533962}"/>
            </c:ext>
          </c:extLst>
        </c:ser>
        <c:dLbls>
          <c:showLegendKey val="0"/>
          <c:showVal val="0"/>
          <c:showCatName val="0"/>
          <c:showSerName val="0"/>
          <c:showPercent val="0"/>
          <c:showBubbleSize val="0"/>
        </c:dLbls>
        <c:gapWidth val="50"/>
        <c:axId val="1017731152"/>
        <c:axId val="1017735472"/>
      </c:barChart>
      <c:catAx>
        <c:axId val="1017731152"/>
        <c:scaling>
          <c:orientation val="maxMin"/>
        </c:scaling>
        <c:delete val="0"/>
        <c:axPos val="l"/>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Segoe UI" panose="020B0502040204020203" pitchFamily="34" charset="0"/>
                <a:ea typeface="+mn-ea"/>
                <a:cs typeface="Segoe UI" panose="020B0502040204020203" pitchFamily="34" charset="0"/>
              </a:defRPr>
            </a:pPr>
            <a:endParaRPr lang="pt-BR"/>
          </a:p>
        </c:txPr>
        <c:crossAx val="1017735472"/>
        <c:crosses val="autoZero"/>
        <c:auto val="1"/>
        <c:lblAlgn val="ctr"/>
        <c:lblOffset val="100"/>
        <c:noMultiLvlLbl val="0"/>
      </c:catAx>
      <c:valAx>
        <c:axId val="1017735472"/>
        <c:scaling>
          <c:orientation val="minMax"/>
        </c:scaling>
        <c:delete val="1"/>
        <c:axPos val="t"/>
        <c:numFmt formatCode="0%" sourceLinked="1"/>
        <c:majorTickMark val="none"/>
        <c:minorTickMark val="none"/>
        <c:tickLblPos val="nextTo"/>
        <c:crossAx val="1017731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LTV</a:t>
            </a:r>
          </a:p>
          <a:p>
            <a:pPr>
              <a:defRPr/>
            </a:pPr>
            <a:r>
              <a:rPr lang="en-US" sz="1200" baseline="0"/>
              <a:t>Médio =  51%</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title>
    <c:autoTitleDeleted val="0"/>
    <c:plotArea>
      <c:layout/>
      <c:barChart>
        <c:barDir val="bar"/>
        <c:grouping val="clustered"/>
        <c:varyColors val="0"/>
        <c:ser>
          <c:idx val="0"/>
          <c:order val="0"/>
          <c:tx>
            <c:strRef>
              <c:f>Portfólio!$Q$134</c:f>
              <c:strCache>
                <c:ptCount val="1"/>
                <c:pt idx="0">
                  <c:v>LTV</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Portfólio!$P$135:$P$138</c:f>
              <c:strCache>
                <c:ptCount val="4"/>
                <c:pt idx="0">
                  <c:v>0% - 25%</c:v>
                </c:pt>
                <c:pt idx="1">
                  <c:v>26% - 50%</c:v>
                </c:pt>
                <c:pt idx="2">
                  <c:v>51% - 75%</c:v>
                </c:pt>
                <c:pt idx="3">
                  <c:v>76% - 100%</c:v>
                </c:pt>
              </c:strCache>
            </c:strRef>
          </c:cat>
          <c:val>
            <c:numRef>
              <c:f>Portfólio!$Q$135:$Q$138</c:f>
              <c:numCache>
                <c:formatCode>0.0%</c:formatCode>
                <c:ptCount val="4"/>
                <c:pt idx="0">
                  <c:v>0.17090019313915253</c:v>
                </c:pt>
                <c:pt idx="1">
                  <c:v>0.48844092564786429</c:v>
                </c:pt>
                <c:pt idx="2">
                  <c:v>0.3026567373093918</c:v>
                </c:pt>
                <c:pt idx="3">
                  <c:v>3.8002143903591495E-2</c:v>
                </c:pt>
              </c:numCache>
            </c:numRef>
          </c:val>
          <c:extLst>
            <c:ext xmlns:c16="http://schemas.microsoft.com/office/drawing/2014/chart" uri="{C3380CC4-5D6E-409C-BE32-E72D297353CC}">
              <c16:uniqueId val="{00000000-B805-4BAE-8E9D-E393AD35AB0E}"/>
            </c:ext>
          </c:extLst>
        </c:ser>
        <c:dLbls>
          <c:showLegendKey val="0"/>
          <c:showVal val="0"/>
          <c:showCatName val="0"/>
          <c:showSerName val="0"/>
          <c:showPercent val="0"/>
          <c:showBubbleSize val="0"/>
        </c:dLbls>
        <c:gapWidth val="50"/>
        <c:axId val="1064452560"/>
        <c:axId val="1064450160"/>
      </c:barChart>
      <c:catAx>
        <c:axId val="10644525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crossAx val="1064450160"/>
        <c:crosses val="autoZero"/>
        <c:auto val="1"/>
        <c:lblAlgn val="ctr"/>
        <c:lblOffset val="100"/>
        <c:noMultiLvlLbl val="0"/>
      </c:catAx>
      <c:valAx>
        <c:axId val="1064450160"/>
        <c:scaling>
          <c:orientation val="minMax"/>
        </c:scaling>
        <c:delete val="1"/>
        <c:axPos val="t"/>
        <c:numFmt formatCode="0.0%" sourceLinked="1"/>
        <c:majorTickMark val="none"/>
        <c:minorTickMark val="none"/>
        <c:tickLblPos val="nextTo"/>
        <c:crossAx val="1064452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11">
          <cx:pt idx="0">29821</cx:pt>
          <cx:pt idx="1"/>
          <cx:pt idx="2">37692</cx:pt>
          <cx:pt idx="3">12285</cx:pt>
          <cx:pt idx="4">29612</cx:pt>
          <cx:pt idx="5">9132</cx:pt>
          <cx:pt idx="6">20600</cx:pt>
          <cx:pt idx="7">27818</cx:pt>
          <cx:pt idx="8">27825</cx:pt>
          <cx:pt idx="9">25190</cx:pt>
          <cx:pt idx="10">25687</cx:pt>
        </cx:lvl>
      </cx:strDim>
      <cx:strDim type="cat">
        <cx:f>_xlchart.v6.1</cx:f>
        <cx:nf>_xlchart.v6.0</cx:nf>
      </cx:strDim>
      <cx:numDim type="colorVal">
        <cx:f>_xlchart.v6.2</cx:f>
        <cx:nf>_xlchart.v6.3</cx:nf>
      </cx:numDim>
    </cx:data>
  </cx:chartData>
  <cx:chart>
    <cx:title pos="t" align="ctr" overlay="0">
      <cx:tx>
        <cx:txData>
          <cx:v>Localização</cx:v>
        </cx:txData>
      </cx:tx>
      <cx:txPr>
        <a:bodyPr spcFirstLastPara="1" vertOverflow="ellipsis" horzOverflow="overflow" wrap="square" lIns="0" tIns="0" rIns="0" bIns="0" anchor="ctr" anchorCtr="1"/>
        <a:lstStyle/>
        <a:p>
          <a:pPr algn="ctr" rtl="0">
            <a:defRPr>
              <a:latin typeface="Segoe UI" panose="020B0502040204020203" pitchFamily="34" charset="0"/>
              <a:ea typeface="Segoe UI" panose="020B0502040204020203" pitchFamily="34" charset="0"/>
              <a:cs typeface="Segoe UI" panose="020B0502040204020203" pitchFamily="34" charset="0"/>
            </a:defRPr>
          </a:pPr>
          <a:r>
            <a:rPr lang="en-US" sz="1400" b="0" i="0" u="none" strike="noStrike" baseline="0">
              <a:solidFill>
                <a:sysClr val="windowText" lastClr="000000">
                  <a:lumMod val="65000"/>
                  <a:lumOff val="35000"/>
                </a:sysClr>
              </a:solidFill>
              <a:latin typeface="Segoe UI" panose="020B0502040204020203" pitchFamily="34" charset="0"/>
              <a:cs typeface="Segoe UI" panose="020B0502040204020203" pitchFamily="34" charset="0"/>
            </a:rPr>
            <a:t>Localização</a:t>
          </a:r>
        </a:p>
      </cx:txPr>
    </cx:title>
    <cx:plotArea>
      <cx:plotAreaRegion>
        <cx:series layoutId="regionMap" uniqueId="{7AF53D91-B5D9-4B0C-803C-6F06056AE173}" formatIdx="0">
          <cx:tx>
            <cx:txData>
              <cx:f/>
              <cx:v>% CRI </cx:v>
            </cx:txData>
          </cx:tx>
          <cx:dataLabels>
            <cx:txPr>
              <a:bodyPr spcFirstLastPara="1" vertOverflow="ellipsis" horzOverflow="overflow" wrap="square" lIns="0" tIns="0" rIns="0" bIns="0" anchor="ctr" anchorCtr="1"/>
              <a:lstStyle/>
              <a:p>
                <a:pPr algn="ctr" rtl="0">
                  <a:defRPr sz="1100">
                    <a:solidFill>
                      <a:schemeClr val="bg2">
                        <a:lumMod val="25000"/>
                      </a:schemeClr>
                    </a:solidFill>
                    <a:latin typeface="Segoe UI" panose="020B0502040204020203" pitchFamily="34" charset="0"/>
                    <a:ea typeface="Segoe UI" panose="020B0502040204020203" pitchFamily="34" charset="0"/>
                    <a:cs typeface="Segoe UI" panose="020B0502040204020203" pitchFamily="34" charset="0"/>
                  </a:defRPr>
                </a:pPr>
                <a:endParaRPr lang="en-US" sz="1100" b="0" i="0" u="none" strike="noStrike" baseline="0">
                  <a:solidFill>
                    <a:schemeClr val="bg2">
                      <a:lumMod val="25000"/>
                    </a:schemeClr>
                  </a:solidFill>
                  <a:latin typeface="Segoe UI" panose="020B0502040204020203" pitchFamily="34" charset="0"/>
                  <a:cs typeface="Segoe UI" panose="020B0502040204020203" pitchFamily="34" charset="0"/>
                </a:endParaRPr>
              </a:p>
            </cx:txPr>
            <cx:visibility seriesName="0" categoryName="0" value="1"/>
            <cx:separator>, </cx:separator>
            <cx:dataLabel idx="0">
              <cx:txPr>
                <a:bodyPr spcFirstLastPara="1" vertOverflow="ellipsis" horzOverflow="overflow" wrap="square" lIns="0" tIns="0" rIns="0" bIns="0" anchor="ctr" anchorCtr="1"/>
                <a:lstStyle/>
                <a:p>
                  <a:pPr algn="ctr" rtl="0">
                    <a:defRPr>
                      <a:solidFill>
                        <a:schemeClr val="bg2"/>
                      </a:solidFill>
                    </a:defRPr>
                  </a:pPr>
                  <a:r>
                    <a:rPr lang="en-US" sz="1100" b="0" i="0" u="none" strike="noStrike" baseline="0">
                      <a:solidFill>
                        <a:schemeClr val="bg2"/>
                      </a:solidFill>
                      <a:latin typeface="Aptos Narrow" panose="02110004020202020204"/>
                    </a:rPr>
                    <a:t>24%</a:t>
                  </a:r>
                </a:p>
              </cx:txPr>
              <cx:visibility seriesName="0" categoryName="0" value="1"/>
              <cx:separator>, </cx:separator>
            </cx:dataLabel>
            <cx:dataLabel idx="2">
              <cx:txPr>
                <a:bodyPr spcFirstLastPara="1" vertOverflow="ellipsis" horzOverflow="overflow" wrap="square" lIns="0" tIns="0" rIns="0" bIns="0" anchor="ctr" anchorCtr="1"/>
                <a:lstStyle/>
                <a:p>
                  <a:pPr algn="ctr" rtl="0">
                    <a:defRPr>
                      <a:solidFill>
                        <a:schemeClr val="bg1"/>
                      </a:solidFill>
                    </a:defRPr>
                  </a:pPr>
                  <a:r>
                    <a:rPr lang="en-US" sz="1100" b="0" i="0" u="none" strike="noStrike" baseline="0">
                      <a:solidFill>
                        <a:schemeClr val="bg1"/>
                      </a:solidFill>
                      <a:latin typeface="Segoe UI" panose="020B0502040204020203" pitchFamily="34" charset="0"/>
                      <a:cs typeface="Segoe UI" panose="020B0502040204020203" pitchFamily="34" charset="0"/>
                    </a:rPr>
                    <a:t>23%</a:t>
                  </a:r>
                </a:p>
              </cx:txPr>
              <cx:visibility seriesName="0" categoryName="0" value="1"/>
              <cx:separator>, </cx:separator>
            </cx:dataLabel>
          </cx:dataLabels>
          <cx:dataId val="0"/>
          <cx:layoutPr>
            <cx:regionLabelLayout val="bestFitOnly"/>
            <cx:geography viewedRegionType="countryRegion" cultureLanguage="en-US" cultureRegion="BR" attribution="Powered by Bing">
              <cx:geoCache provider="{E9337A44-BEBE-4D9F-B70C-5C5E7DAFC167}">
                <cx:binary>nHrZltw4du2v1KrnyyqAADF4uf0AMiJy0JSZUqmkF6xUSgI4AOAAEiD/xt/iH/PJcrtbpfKtdvsl
V0aQDBDAOfvsvQ/+9Sn/y9Pw5XH+IbvBL//ylP/yo41x/Jeff16e7Bf3uPzk2qc5LOFr/OkpuJ/D
16/t05efP8+PqfXm5xJh+vOTfZzjl/zjv/0r/Jr5EprH+HjysY373fpl3u+/LOsQlz+9+v+5+MOX
337m7T5++cuPj59d65t2iXP7FH/866Xrz3/5EZelqH784edvf+Svl189OnjyEtr/+Pflf3jky+MS
//JjQaufJOK44kJySWWJ5Y8/pC+/XarITyXlmMHXlJVCIvbjDz7M0cJjuPyJSMlKhCqGq5JQ+uMP
S1j/65r8iUpBMEJCYoxJKf62PG/CsJvg/7Ygf/38g1/dm9D6uPzlR8FhPuN/3fc8Q0aR5BQTxghn
VSll+Xz96fEe9gBux/8PUyt20RtWWx5Sq/rc6/E6xexvBGdJv8p+zfJSST+sioW+lyedluNry7Yu
qYVj+xnpfh4vVdWt5jbLYk8N2rqiu+nZPMRaTLhfal+ww921QxvJncliO64KFDZ5o/N0wplNddUi
fVnHbhquhmIfT+VKXI0Ga2qhcTxXclzqjPLnbh1jPQzr+G5fxH5Dj275ckSKnrqibOsQnD+JTMYr
O6FJHbiyWZWZxUslYrxFGwoPktKtyZXpVIi735U8SlbcRFKkT5FTW6kk+hmdNmJzOBd51LMiuxt7
1TNYlXpoy+LEWGdLNXrJf2VrFPJJM506RdOY5hObi3Y5bxJLqwoTwnJfEJvml51LVVSJHbivl16X
tle6GNvhTKq16BXp2/wW8sWRMwTERm96PNk7umNHaz5Uq3vviyBO3rk1NKitjqyOUuj+3C+uNao4
4C1PtCjhahHRQVSoQn7bsdQ99jsd56abx7JS9NhgRmnZi1ujd/jX03UOanFTxd70/QS3FKEv/cNW
kXSJe1soi7ZwxxM/46G6ZmPL3u9uRXUfma63okcvbZW9mnLJl8epi+/mRUz1uqN5qBGZhLLaFnVI
3DZ+yLjmycAr5nlVsRifmNsh6sp9edEO3Vd72GtH493OISiVoIUSc1IRxVfjBG/12TFLgkp5fCe7
+TN3Xexvk875qIkjva4FI/IiWWDxRamHaW9IF7Q/jU73WKXQD/c2pIXAOvXp7YYszHZczHIz9fKp
gJU1Z7mjUp+w9PJhWKP5lEkybR3J1OnrVKxPoSd12P153qorf7DP1u/7SfjuUzkfgzLs2JVtp/Na
2ds58hfD4ItajNRfu3V4uwxoVLG1tB7Z13np7odi7G4TFl/D3Da6raiayuEyTfG8TLup9Y6atKK3
R8C3C9KPWYjTUFSXYdhUUUyhsdYMJ6TFpNZWzkrYydTbYl8IP94VtO/PLfbGXw5SltXZ8yxvp1ii
l2LfJtdwLF7ldbsljPyy0v71UKSXEOK8U2OZxHamdGhv4hTFrAovuzdsOH6VHXl0y9iPtXZ9d18Y
9j6z7PsLNWR6y70gXwccB387FNZA0BB2LnfywVkcIEb1uN2UjIXPpnNbf53j1NqzK9Hilcy0fyWi
x9uD2Ho6qWHlXa924Y5mdFNxbUxmvllSNa7X2eH2lMtlk+l+jYceb1d82E+Bkwqd8W5o1bieq8X0
FzLJ+bg2ge9eoQ6PvHbCtVL5XiN7k4qlOuKLwtJ+VPMm9u7VTlNPL201U3mrp7mHnavwzGo0DiIo
nV05KXukMZ6TxuVYj4c1pJaz669mZMi5nfbeXC8yVMrOI70hXeJjs/rd+b7uUdLyFLzPbw0S/fiY
si4/BGfy230SWz6t+2x72L6JsTqNZXG7DAAByvgivV34CN/SvhrIGckdwMQkqD3KxAUgJbRa9spU
CQAkCLGxUzAZm2suI6Wz6tpt6U52l+10qXTfjQ2lI7oym8abEsPQr9eh6wDy+oKE6TVZ94VaRdKm
X8/9Ai+NOqZd3YUSkCiZsdwUWclYXkgBdf+yzPLl0suaj8KdUWGM2kb/chh3VMfCs0s7z+bEpnX9
sNnhNUbuvbbDmzGFF4OZKzX36bUtYzz7o2pVQq2tHctPTB/sblqP4mI2OjUzm8ZmQ/iLoPt2OYpQ
naugj3NmffcRTYSpvQ3m7LzOapjLN6NOb7OtlqYdJFMyxva6j+F4EyopLkVbxtOOmGjGkF+1dl4v
onNlvYaC1DOFPQPor15vB2SrneP8WupK1KOW/FXVO1Fv6+BfQgDry9Da7qR72p3dcOQXuK18Y7S8
w7ZY60zXrWnhJa4X7X71Y0dOCyPtTetEOpXTuF4OadOLI+35IogrL2u1P3Zp+mXy2NRJs1cL5kxN
O5pukknooUdjUxJmm6Ec3/kwoBtpw3FFmCC3FTxYr9q0Z1ZlphiKUOW4ybWFOD/jRXzFq7hFpNvV
BK9S446Qj4dZTQNQJ6GGFLhho3XvZHSFyhqmrtnMVFvO/jLYFd2NY9GdxXHsp6PtmsMWTwYqw6A0
8xvkVHplaflxWf2hqkWL25kJjpQl1atly+m2dWhVw6gLlVrW1Zx17ooS0s2qb9vlYUCue7NutHxa
W9/9YvgWZoUXIG6nYxf0nlNfXVlX5le/5QMeDUunDeL6A+2L3iqO0XzGbmVHfYiNXM2hc7+KlrNF
oVx5D/l8xPOagKfCC5flh85O8Xbo9hLqsvF2VGIa9gfMjP+F5N79Om8zqvU4uw+o2tpOiZzF5eAF
uYP6MWVlbZy+QAwN6Yb4Nl6vAa2/EN+lz1ucdt4rP6TwSAF3IWSxubP4wG/Ko/Jrw1zQJ9lL3+xH
QEu9H8eXQgb0RhxsuKnKqbjMeS9eMiBaotnNOD70jJD+RC0m5MYbnCqFehpPvNWkUgsglpuVYzSK
m92VUisy589sL/s3lmW9viumOZREdXYwxWmzLWvaY078tMdS96rsTCifesIRbURn2wd9tBC97Rpr
BOX9eiLdtNSVdug+oxV/2qt1OEPNKwHaVjTXVVrdu+gp5s1C9vjgrHSPcWMjacZjNtPVtA6jaud+
X2s+Cfxh6UcHCGYGfr1LOZ24dvOrGFDZqSOP/V0m8/QJAdjNADp77OA9tz2eN9qhu63twy2QIuSa
nefqdQxtKptEj3JWfFzQp55v7XAtq13rVW2lnYGAFNKbU9hKQMylL5e27p0xn5NAwJtSJWNo0hDo
dh54hW/mYija2myAy60AXtzu/Kj30pYNLwZyKOq4a++G8niqFvvrUXFeb3S9GbbhStsD1uwwKF+T
Pk4NQlC5qR/HpqjkLUPHG2KBVSExwcunTwvyLKoJCDAk1t41wHNOUMZerdVRCEWJA2w3A3C3Sw/0
8lxsHQA8BcUBSdND2J8DIvuhRBHTWYQFGE2Yn3mdYHxOJ5pIGG6CA+bYzzHD7zFSL8a/WaY1K7HP
GbhgJk2YrFQUuILaRCQqAp0XJzxVE+T2OMaCeZUOH7arVa7bUcvc+lwXJQ1JicoVru7xKF/YqZu6
X+be8OnOHzJOD53o2v3MgpybTETcFakSPLOnMg2dcqvU3F+0D7RXke7v+mpcVCSzC587u4z1JLqT
nw6qXFj5+9U4HtTEpxjfFII8iwNCxv5KlsFhBQpjer9taR3Pk1uKz73OsBi7dwcHEWFROE+2cLmZ
vEyfIbVup8VOtwC+9PUkD/ZmYKkUT5T1xN5mOq7vKW3Hy7KF+CiqiU3nHkbTiiKuX1soNh/KRVev
YulnXpOgX62aHBqyeQzFzUjX3p6o6LWpD4KEBuLQifVli90yKCt3N7yGIj2Xl24nS1CgJ7rqF1SO
/qit3Ab5IrVbPi7R7mg7dQuaroLnFYBV8NvaFLIc7zsIiv0yVmmZLwuzu1G086E4u1iSdwVaoTSP
S6s64PTFq24e1pNfJtuqXHbj8hL7fd2u+ixczUNk8yeTljBB1bZL05FqSfU49WQ6lUVeZuBoR3jt
ZcEvAIZkqVHfo/1aRtweagqD79WCMAo1HWYK5bb0azzZgyTZ6IqM26uRH6Nt1mWHSmZ8Oi3EhsZN
BB/1ABoXSj5wc3wZQimOOoxivBLZteLEhxn5Whf9MdeLtj4pkkXsVXZ6Ik0eQ6QQgNi6K2zX+46X
eFA7aL2iyXTT9gUWTFxDhvv2a9haU700SxEgbjUL566tShAZkrGJnwex+3taBH+/8HLbgTrmx6Oz
7xeItbuuNTicWg1SM9FAQPSUqbuksb/WLVDrW6xXGVVPiniLYeodCGA8vWqLbf5QJZuAeNpxeB1H
WKYIYF+zzM39yJfxHKW/csV6NAXOH8TkP9rVbDXscfEBZDb5sto8ta8D5JO9g2zfm8QLXoPodVf2
MLdLclnNAUOidObNMYUPbTW9HXZCLn7kNwJFWoOmA8Zpi67pSlTDFhqFbU7nIfszB3xSCQepEACM
2ob13ifjmqNcYm3avarXaWFqDKg9J2fuRllQZUfQUsUsVyB8ee7vduluhdM35eTKuRYxA3s0zLra
zf52GemXojJSvIYA3fbL0kljGkoQaPxqqAhSk+wKNZQa43o0R1jvoC7gulqRKK91v/LimnaZt4qj
OFVvrcH+7bgvx9Sslg8G9NK0hOvuNyTcq60rGzqzTpyhLHhx1ZPDfN55tfR168vhrkNcsnOBabTn
zvM2A/DNQJsTYuUHIe2zQN9N/pTg66BE54m5n5dgSbNoLy48a3h8YkvPACfxcDXLDWijEA6fEFQT
+yYOkxG1b91qb2nizL5vIzaqLdor6aAmd73tf4HNEuXbjfPWNSwPmKvWOvuAkUx9sywOv5/sCMOD
hGhdGi5tR48mWopB5elRDRp371wcDtnIFAAQIQoAtxdBb6YuLH6uASNcaMQ6Mvpo+mho3R7CPmQM
oGRAj+V6dFscGriZPtHNFCukQfT5AUkb88sCpPh1Smy+7ru2vRRHFPzadY6T69/csp//y677nR/1
FMZ9bo39q1/3t4//9vK/bcB/fX7s798/e35///R6/OIf4vzlS3z5OH5/5+8eBPvrr+M/24W/+/AH
7/BbY+9/e/F/Zx1KQlHF0Z+Zh28e50f/H//+rXv4t6f+2z8UP6GyAnMQCj4B6iT53/1D+hPDvGJC
MslLVrHy7/5hWf5U4UpKISgipEQE/90/LNlPHGMJFyXBcAPn/4x/WBHynX/IANeFlJyBick42Ii/
9w/LEC1GUwE1KXCgblWatv3UYe/uinIugxoKBhnMcshQKLwLKsc194pH0T/SzKeyLlI2IPdBScFF
nkateNnO+rRRtBgloJTnk+8Lc810CbZTJ8IExX5fANs8cPcnMfOoa+SG+cMM7heuwX5bpzpVK93V
Thx6XRUG30J9W/s6awqMEIoViSeTRtSpflqOoW4lX+5IWwKB1HGZRwUVD+XaZbAV1Twj+l4y1zsw
3jD4WY79eqCIkFoC1lcdSKTPsczj3Yy1ewRhTk0NaAdaLM0trEFnhvGo+5blO5ri0Ssc0OZUK4o1
qa3iMLUZBIbq5xlszj1ZcChnNwSsMthMcx3Itiw1K472cbcjNarX2sTa2rzYy5o6oFXWHfIRmNsy
qtJZKDTDkAXgRbXNH3W/GzBTQ7FfGb73gxJmAKCBd11+9d7FpNZF8mthfP+gSVreosDauRlcW76k
gYYXUGaLtpnmlh5qNgv/FGwUv4L5qPcrafj6ugJjZz/NrJf4tHccnNaU/EuTWv7LwTGwotWVw+tl
mDtUT6NPHzkdj1+oO5asVrR2b9IUwkcvw3Tfbjva1QFuBa3BQXXxUF3VAy7LPqS3BRP2M4xYoeuC
tNU7LNxvNmrbwhKkwCuwywa8A9OLQ3eaEGk/8SNPXwKUUeyVATlTnlqxleakwY4tVRDV4mpMsh7r
XIT1LSufLZUwyyo1LpXdL7h0dLluOxlves3NB77T7nbKu36ctQ1tvVNt7GWcwLZh3h+PvhjyBxv2
tVBYoO1VO+7uVdhSnhTV1UTUxg/dARFggSjgjNooINbJKY0F/2SrKg51iJ3WTb9PQwEhKMQLhFxv
6g4fx2vdV+urCbPyVycC+whFozKKpXV+gTzpbwWVY723QxXrY/HD/T6mBPLCjZjXZZb+DloSk1Fr
4UrwvleopkB1d6vAKU/n7kjYNIiG5UwPI+/bqpivBFvyHZ5HebHauEetxbDWgFkeaOA2W6qWZIO4
mLnf7ovWL+CRC7R8XFCawYM6wJwFtpBmGJMfhKred7s+04Dnl4mY9CQmsWi1dbCqEQweehpwTvv5
MJUGX4gO1J+GcBxgt9PQC7BHHLJN7jZQnodpq3ukzfrxEGBcg0WXCPjLesFgXpieUiXIEOQp9Sh+
9kIs/kzNfLwcV9jEK8RM350rtI1E6fXot4udKgsqb9/Ji8yDv4NiLcGr11p/Xu3hnZKVoI8EtghY
L9BerBDuXO3xiF09p1VU9TymYgSVVYLQAGIGoTR3IHmVsamrmr6QyNTeT9BvkZrZD0WQy0cqiuFF
2jr/aY1zxdTKcAkSb199qOVU+OpkOs7inWsX/uCoP1wNA8y3HY72UFy4eT3huIIjB80WVxdiPzR0
GEj1oWuB9TZHgm087UyDeuYFLdVsUTldMZ7wu7arHLgjR9yjsl1iv7hqQG8mCsL7tEoxv9Qsd20z
j8fwnvKyAEBfxfJ1NoNblRu21J5GwrYmdGCFnaZ5i67ZxsI+icXO6EzLwh1qn3IP5sZULHUJtHOq
R97vvCFmz19RNoD+Es0TVwcg372ehNlPVRvC57xq+bCVAxEgUud4r50DKbhCH6urAfAgJlBJoKNg
gJZfw1wN9C6WFmBvPHJ3gKcEniU0SVbyPuNujQAkEwJPY7VDAK8od7+OyfGo6Or9TaJteQBPDukL
8pi+Cx0rJlDYGOgUWtP0IAJCQ2OAY7IT2E8Q1SEjZBWSBgza3g7QYln8lI8rM1Nov0Bzr2L10rHe
NGbVcH/vEBBOQ23+ZEgBfJOF6YGCFGJN0Hig9VaJuTghDkitXLXhqIo1ju+XaJFTi47Q8ln6QwKd
LyCzAZShS+QxuGYXsxOI7aFzr2TO29wYScDdAv0LfjRQaPArRg3GL3Q0POxPnLrP7TCxj2TUojyB
K7tLZUpJi3OQuexvOr/jd7IqEL09jnDIK4gPRhos27FsoC8JEwv7buMJ5Rl8lgWE7LMD1cvjboGy
+86gDuhz78d2ve5RlY6rPmItQdmXc+NzYH0TRkjtGpxCcKVD5AhMDiTAgzl8mq7MyPN0jVI/0Xs5
LH1/sZS0xVWwGdpBHoAgP5gc9b0GcAJNiGiVXper7PFzG9N91BsGJ2WPAeTK4CbTnVG7LFS1OrKr
klESarTLPDdV1MesNrxofrN4XJTQH1vZfNkD6e7XkSxYbWlnndrR0Q1g55WgwaDt1osT2PoFO7U0
bJXKy8TmpozzMJ1MbPNymmWa/bWnuVzPiOFDKlxwV8F2dVtUewTWf3q2pldVkQj3W9a6p7E9xqLm
ggR7It1owf5Zyf7A+ZbXGxH6db20CGoUSPBZX7ne50HlqUNvs0/4CwVb7TGMGKVL8Ga2SlOboIOS
QEPAiGj4lOas3+op6c/QnJEGpE5OtKY58VQTuU+3oZ3Ih3mwuFcOSfphavPm1RyxvExAGaBR13fe
XWWT9X3sw7g1e1cuphmqvjslfEy4XoZ+glAvy2Go++wFbbQeAABFyfmbJRVxUGEk+iYUiPgmwpRL
1U6+tzVZdvQOvLL90wDuW4AuL/esHigWc63nHN74joKRElJfeYXLxYL1RRx7gEoGlC4uJX9jdVUd
YBpp4FVCsDGB8YDC29wNIwPWw3BQ5TJ0vB77KEEUETTlpuSrvXhvpnhibiHsNMwHfz1Yvf1K/Woe
qA7WvZiKzD9r0q9gdZQzBEqgVVEoIIURrI45Q7mnR1rRCbql4l23GQRwUBwQOtTu4cPWdbAjvvNQ
7vcDqvfFrGjCJ963pL3wlpe5IX227wWYHaYJ8CQATDvC1sE6mFRHscelnssJ/IdCYg+FdD6gDTFu
mjTQ5e0f2NLF9TKuQ6dV5fGcmg7BwQdoCfkAZADspANKdQlwP6yLgZ4SFAp2Bkno3uFJeiAmyUPD
L0e34/obYfM/HDOA8wq/O2QASgUzTBF6PmMA5xngrMO3hww02wOiVrcNwc+tf3bwZp10uPvzUZ6l
xrdHGb4f5TspshDcR7pCW2KkfH+3AmmA+PL5RbJofvlswbz0RwHdjH9+VA52KwgtDqIPgdb6dm5V
3tt+AjLaMNTb+/CMhI6OYArZTgPHT5pcURv145+Pip9/9vvJfjssyL9vhw0cOQ/1v2t0AExopgQm
EUQjj1GtQ0mjIqElL3YL7bx6ARPt4xgmpKHlDn6bIkCxwj+7x0iyqsK8LJFEVPJnofjtQRLoUGg4
g9A2crbmPHhbno317PTn8xbfT/u3UUQlQdkKzPlzpH0zCrQsUyxp2TbQUHQqV3y+rHHKF1YdVdNp
6JmzhU0gQ5H5ByP/ccW/G/q7kzJwoAjqN4GN7sbxKsphbY4FlSexQnd1RDTes0UsaufrfLFoBw2C
sLzTa6Rv/nwJ/pBM8B6MYykw5pTL7xU3OwjfKwe8bpWyPUUyiKbMSzj/+SjPs/ldfH03yvNGfLPQ
c2hD2/G1bYQx6w343/sJmXU7h3YjzZ8P9YcJgeQAaMBA1gQHpIBDUt8O1R0DtCyz7BrnM7TDbFFB
63vYL/+HUYSoWMUZ4px9N6ElkGRHATYodC9T07PKQjFdqn+ABn9YNphLScEMAXYH5kz1XXwaaDjt
cOalg4Mnewc634pzm3B3lTXKt38+oT/CHZMVJ5AHiCMMrOv3ywbqAjpLbds30xLN09Gv7m1Vmek8
dVVuFgFdCAOG5j+Y3/+0VxX0OSjYSxiat98lwXzAApsJVhEOD+0v/ODk2bQU/bPBB6vICKYUDsFV
FM4C/n5qTg4T3VbdNfKY5veHxtU1CPXiekhe/9MT4hgKEixVxeDMHfkuLNAxtfu4ir4Z0xEuchm+
zoT5059v1R9XDeJaVAJVZYkRf/bjvo3wfCxjUeQM0MFYbtha9i/6CDL2/zCKlBWFg4GMluy7PIID
eMCVdNU20MHYzmQM/Rk/C8I/H+WPYQcZKqvnA4q85Ih9V8uPaockMlXX5Gn2DYE/JwOU785X7fB8
xowh6B5CXfqnR4XjkBJTUpWI8u9Bz8IZlmLjCbKXx1LFiMsNOrFBXMH5RpC13ShebBys83+wcX9M
Zw6ZjAiHUVmF6HdFLRbQocDTBuEO5sy58t0BLZ/VQ48V6iD7B3PEz7/2O8x9rp5wGhRa0LiCSX63
gdKjnUszdU3gK3sF5FuqZViKh6lCvNn6AZqJZYs3UIGhzC8xOuQrJCHRGwLS7xLnVZ/B4tH/ADhL
cK3/8Fq0qgTkIX4Gt+eI+KYUBM21bXfaNi4j4JZrBsZ9ovNhxQ0vhH8sC93F6/Cf7J3JchtJs6Vf
pa33WZbzsM0JEwFwkkRxk0appJznOZ/+fomqv68IsUnT3XaXShIpAghEhIeHu59zHGUhPgfyMLlj
V2W2kYHJAllL6rFKAtWwIRkIdjwk6VZaZOFHn0sKMQm8D1ugFKK5hOXWbdiTCvxjsP8fZPjfcHYt
4r7/Oz/5GBcv7f/a/Ghe4vZXnOHfJ/6LMijWX3htw+Bc4zhwUNjdf1jK0l/cL2t5X4OQrasmnu3/
sJTVv2TABUjDkmpqGnfRLyiD/Jcly1y0nFmeixf/E5RBkleg48oGJcVYUQveo2GAbLy2wWEqrGYu
VJnSpiXfmtoAuzfNB1hGc3mSM/kZIvUZcltEJSx0SYxE8slOduQ+2xZGL73Uy2jtEjMO/cqgvD+G
A+w2AeJsmfe5YzY1rIsxCbw8VR+hS2i2lpfFiXs+vgmTjJC5yyD4wW9wJKFMiIWMmcxZzlxJb7dQ
n2/rNpi9ck7OAxxlP+rm+3oeN60ZpvYQmYJbTc2XtAHLmIdQtpWikR3KZbUT11r7qZqt5qbTi8AT
qjEG8UwAEafmU21G7UEQG/W7pgWtD6IKl4FhN6lATj0LRfTSG4X6YFJ68RKKh35caX9rUXGqTDXc
iFqnK7agT2uBsJQdCZBuG+lm6tTj+LUSsmo3CWZzC8BtOFMOSYOakbmhtjOfJjE6h9QsPH0SQOYl
amZqUOTPQ6Ay6ZTynzJYQsgiVp/ranxog2b0u9lKzq3ayk7Yg0zKpSQ4rSH0XrrEsBx69W6inukG
RQUcFKXpoyZMyn0CjAIrrvBBanVbkdvRC40ytrlbFFcoai+BbrOPzOY0mEvidTC/3XZZPom6IdhC
TVGynxoIJnNb7GI9GFY0mzJrkmj35dhlPtRKAE4rrW1JlHJvScf7pZMoiqlR6plRVuy1oNwN6gSZ
QK8WCsZiuE9zo/4iLfByhRq+mC5JNfSqOlpcqRbUXS80rSv3wbcmIemvur6+NwXhM3eIN3LJ+4U4
3efVfBuavemYMQRvihex3UfyF7nrRbvK4NCac//VnIovQqZvCmX6ogYJdt0B4lhhJJKzN3twg2FX
a/jdqNWa7WRlwa7WAXjmdBTAZ4O0sLuqaR5DQ118s5c2ptV9URjjMRLUZqvnWvuytM1tL3CdNK02
PhpR1dxIY/ecp/OnZNI+V1b7M12WxBGaYVOV1kmvwim90yah/ykN+RDtl3xSRZs6d1c4balV066d
hyn3+hhayiHJ5+l5VhtTPotWUJ7UAlKTZyRNnMKfDPJzb2aUYBxRTc3PkL51KXH0uZp1J4watXKn
zBLOldZmi50vUlPYRKDWAusJmpNd1AFcgSggHaSU0of6pyJVUkA1aiEGeyFFol3O+C9/0cYUfmgs
pZM9h5qsHtPAys9FWYXVSWmAsjVPrOXKlF1C97T2lRjc3cvHosQ8eP3476ZUg9ShYNqFXlrk1WdN
DfW7qdejzo0gnKaOaAiC4Oh5kqm2rIfj13w0hnCPx4pPYQfcuiEaX/aBIBSCmytGNlFdhw7g11lZ
c9zqJue4p5DTd/0wdvAalFk2d+moar2byhToJGGxAlef67T2VCsT73UQo8TplKoI4dfWlGAjaSwU
P1WD2drGqWxoJQda5tatzWmh8mq18ZC7Y92Lll33Qa/bGpUASGLUSLutQFlSc41c0RtfjgK19pcA
6qRNUanrvVpLrcRX9SGKfFMUKP53kS5aTgdka9haNwVfxGFuYdgEVQnRcjE5SaaVt/s2mcvEyWRh
nt0w6+r6YNRgjLYEBNe4StVEuzKKKuApPW6/hLkZSj+BtKLC7hszuhsM1ZRtS8qnxg77Je92mZFa
rROEldmd8tboKq8Nu6U7zmMRC6fGgmZhi0IfzreW2JrdozAFResKuSavlWI2uJQ1aOZpAHMJXmAs
WhtKi1DeZGqeL9C3lh9lqwb3qRWxIKUVz5YXQ85aWP1mHmAMN4r2fRgH9daKgvFlUoX5RR1HLfD0
WCEPTrNFhbPM3Wo5sJZiebNo5aAcRiOvZT+21ErbhiaXxh3QtZF61Wj1s6NMWoq4QenjCWhYmx56
ferODXe9P8jCsM205SAKUXJIu6byuqIr7sjrTnEiTps6NUc3Go3Jp4ZXnkNdLOzKEsezURmBvZi5
3thzxRoP0fgihcmyobJ8mhpd2MzwhCnSt+KNsGgVQpJpJ+octiJAptN2MIGmCfCvhr1ctzDERBH8
fJF6zdapA/hghbrdGLJjVYSYVRPrjpJCw0+nvvKGMn/IwuEuVNTAqbg/naWI9dgm50L4AiE+/dSI
WSrcBK26pV472BDo6xmfKOrPqckp2YhSeFuUekVl2Krt2FrI+ULhROVhOaRCtmnAirsB/kpQHKOp
Eo99Vm/7IXhRlhzCYlb+bKqptKMeXlMkSLexBXtATIzKblvTcI0MAKPvAnxCeUvu6oa5XNiLQskm
FibBnvFW9pCW8qmsy9GZo8APRLDytFL+rkbtqYZ7vS+BOrkd9WOAlgJGXqUfAWkHN5AhdEKN38pz
6QlSvkXkA/147Nof+qI5skaWXqXZuI3isiudpBNKskCu5qQyvnR98dhIYrebMQhXFaacIjUKBWiQ
39CmpJ2rTcP9qFgmNUbZkGevEwKq5npVdEBpVRO4a7Ls6tSKDsk4F5u+F+KHLpQXc6eaRWHtIs2a
viea0Cd7aYZ2BLLeyNkXeMGaBXVAlZeNroazfhpCqTvIgqSIvmEtYgzhdxxCD3HDCvBkFcqdZbaK
4M7KZj2ykRK14lpgHrkyB3ETW+WKoenGcFAXEc2U0S0JpKuye0iMoBP9IW4hPuSqVP4YCcEqP2sK
TbvtoprCYR/PqeWiRKqKQz6P87ac4EK3dmqYhbKNo0WS9qoawm0dUxnwKI6t+u88z6PRMc1RqLcj
QiEWdpA1qNhwHWFH9rzQTg/7aOVGy/I4fC2EKNc2VpT2UuNTlVdx03KdB7uIwpPhLnGgJvs5rUDA
CjPjBi7kIo63at0C9pmFCjuUimMa2omeAZa3vCvjCywHDpcSqmEMxhm2envMhJYxayUuslt9Fsf+
Vmz7SQIuF4Ql8Mxx7O97syYp0kStuAMBXRZvVFupvpsJfL52ajSo51I35gXOizqAPhWIF1xTLkLj
QQhBoTeLLMXmOakNIrom6ivoljBtCBEJq6ot76Jt7DIazWinoxiD5kZ8UPqdMcah6KWtlO+TVMwI
HTorQatmddGnPJ9TFDfjbGae0GmFcC8v0BiR02xN0dzGg1w4+MkaMdiyWaS52Qr9Gti23ESGBUSE
5z1YQ9w/xipQcy1L361I+JbGXR/ZOQybNWJMcluNw/B7qEpQAk0z8GD1fBo7fQ/I6hG8uZbQGcA7
auSO4lJtkBxtJaOuuH+s8FOSx44p1UdJTyQHyR94R5sPm0ZSMlvPAkfnsPi6oFo7VcwsR8iLfV+X
j3ob5YAc2A/c5G0fCK5U9ue20cY7FvhLlCSRPSnZGWEOsie9QamGdLEz6v08Fck26LUdcdE5VKTq
K75sOmmd+RjE0UMvFH6vqBAas85r2uJJSiRIRm0Z+KVuOVPdfc7q6ra1+m0kF9/QEeWuVsQPcqTc
RYBEjhrU03McFl/NJtwPVRXvZ9iOWwnr09LIVaZK8SUAQbspQt2GDftNGoNjVmsPnRpItmIMx7Gu
R4cUur6JTXm0S2UNi3Tri1qLsa2W5c9lCDvYuBIJS8c8jfFkcMUMQHvdkB/1VrjL8gS6TntS5vJW
A5ba60H2veo7dC1tSO4eKNFGAcqwYes8xYtRQzXIRDuYUaMVWVV9G/rmoReNe2mZIycMh2OkWsCU
qt+G/aEHJOXS0yvUNMbNUrREpH1oG3N30jLpzqgULGOsbhNLu4Nm4QtK93koYaWLcmtxRGEAK301
oAjrnriviZPH5KYXpJhYz9wQ7z6VYefXc81NjujSqbUaKtXoKUO1l4tu3CRCm20Sq/o7kLVmE44m
BB7NViiRlq21X8L5s0l+BJ1Bzu0q1P6eLCLzCiRfaYBH8+UbtGxYVwU8ZTXOnhIyIi6YajAPaqd/
oZC4/BB1YbgJ1PiTtSTdw9jqziAi6YtRAkA/deZp8sI62Dc5TPdcPBToaOy2CG5H3dhohX7TksAR
ZHqJIQ6f576/WarpNiW7OtWG8aBmXeKSA4v4ezkjAJ7MXdwnrWPIpvE8ggPMWlLdq3WhfNXU8XNc
SK3bDjL1IiUmN0NF4Gh5cBvVZeXo1iK4FkKIQyDruTe3EtszI9b1Y1Web02luk0Ds3LCVhzBhavv
i1DBY+318YYbp7KNaZa8ldzz0GiSuOM15NCxFEj9MyCZl8fJDwgfpouiogRTDGD4mVbvL73WdBtg
7UrejIOE9owrF0UZZH1EBO1FaaauojP1HwGa2BFKnUnlUKa1sgyfQOhXxZoKoX9LrI6OrWukqN6k
F30buY8KHFPKiRjuYPysXI2xRi9Xmi00X6FdlXJh2+iQTS4KOuWipjPNHkqDkCOyM/sEOsdotUjv
qoF/lXNZSG6mizqvWIV6wyrZW5BujDdDPkWiK6LnOiQXZV8fo1xKHfWi+Qsa+P3jgF5rjrIkJFkr
luf6IhccKXNAOKvnxJsGbSGubUqmJoxIHBNhHP2wneIMlZSmtGhzSGYQ2UZkPdaYE5cL8SqflFYl
ZbBqKnuyq9CWCz3dIdYI79KLBFOoWuWnsuoyi3CJTV/gHiSynaxddlFwVpP4oqHpDFUlQQ+y6jzL
0or2pbyqPyd00Yk91O2+M4NbGY0oxIaDjma0RaCdu02HkDRfJaVFjgzRr1UhyDeyFja+3henRhEO
k2GR/SQT9KcBTn0QkNgnFGUQu8pOhl/Iht6uF5TAYy/ti2m5VUdqyEKNnDfSb+S2BCbmxsyVfqNY
ymeFVPAQGctJgHcHE6R0mlVQOwsojUJz3sJHR/5mJpVdt3DuypEAU6tHe5Lkz13Wzl6OYJd76DSp
001YKw+TqUfIei8SX00JhBdx1f2iukUCvLRxB47Z9veUt4KbJGslvMWqGw4vEuJRGODgXITFSVIJ
hSddBMeQehAfQ5S1NotqJIFTJurIfMqxSVHalgDRs18mUUQSMsANJdpE19yicIYu6wRy6XZCW6Mc
G8tjZw1+LFbfklUePZaQgEZ5gdQlhhsYCJJbrJpqoho0m9P3nBoBoYdVZ/ChEjyWKd+TQ5L9RxQ9
7NCylGNZzE9UlH4I4TI53Nbii6qV+3jVd08Tir8Gh7lpAmEpHlbZiGabI0KX2/IiEQ/zNfQaVuX4
v/IjNANo0EqjbMDT0JmTArE6/So+V2OdUCxEmpR7YiNHeMp/xOpZBoupvIjYy1XPbl6k7WpoENAl
F8W7uorfyyTm1KqrJr4hHeboXqTyaRwsED7H1oQwlF4E9fCpENc3dZa3902fIbo3LgJ8NSmHxrMu
wny9VTTrO8If42mO1vIbDFuIViZptKNexP3hvAr9R2UV/U+XBgBoCbga2rUvQBWlmrAv/mkXoFtI
aHIki6EIj1JaWwpIaoryY9TTW7VVjJ/x2nsgQnK8zSkkEqF3FPOqSvxeKlTh6CaQDZt8bWFgmNHo
GdF8i6BhsPNQbHdG3//ISxh+6LZGP+gnQ9pXhVw78lh56Pc6ax9d+ifoctgod8msTznH3eQWoCSY
dg4pqZXsx0sfBimbWkQiullVm25t1VDnZjxC7THnn7UeJpZnyWIKdyZNRwtpBq71NOplsU8uXSBQ
8w0xnJWV958q4pLbSy+106Fdt8VNa+rGnqBzS9gTApGE+ktFiS3OFTPcVxnlXU+oUzxt2HbBeeWy
z04plip6QnN6qi3F+hTNtQi/ss+cLkH0EVOjOmWKOH2OiSbKRWl2YpxTT6Ky80MNZCobIsjTC7qK
bFOy2aHTjrr6CWhEkiF1awI6OpKEZemtByWNli2mb1nUoBjbldC6j45YRMZ0AzMsQjORwL7Nj0Za
TdJDmxhp6+NUivqcjrEYbxUtrkmkJ7KVXSoHbfKyNGL9QBIIYZV0tV5us3ZEKDQlZRiQG0MOfNQG
Ucs8GOP94jexBh0wraAE3zRFlGRcAYb6aYSOUdwT9VbFnWLOcfMJEZgW7rpglsbaLi5CReLjZHG6
2rBKD9HQULiyWVhaglCzzJcbUw9Yg7HoCRCCFrbFtijpZ2HnjZAmj0xFhhlqkbP7kpiy0b2lhtFd
1pYNpDuafHwNlKkQvLARBemnJtX5t5i9+UmSLeVPdUWKbrdItFol67DMCGXZtz5M6noj6D3Mh7AT
EVOOMqAAzGElFM9BVnTfVKHrRo/w3qAE2Xb5AfGLZvp1HesjWzdygXVhidhzStOKrE1UoMhAY1Ee
Aq4c6ZbYrlGcflCam1CwBgNBdV8Lbj9mkLSDSeyoKmqqxZ+wYB1pEhfdCxAC3pHuoGcd60hU7KWR
ME9h1uFzEg+Hf7eQrC3bEHLF2uPJhNShILdAce4CRJStVaCTFBJ6k3iq2uO7qgDG88lSs2jXSzIq
+CQz1qy9jzHmzkwS3UN4IQ4uBcKKN2CgFd4YnKzTpGdZeJ6kJuYMJb3xxMkUXCHMB/1JRq/0dYBw
d4+PIOwzKgHnXhvE+13k1vDVudyJL0E04m9DE0aeAaJ3Wsp6OYbDrNxnGkrKKjR1f8yp6SBw3iFO
kz9D7N3mBMlbVZMnL6Da+cnirW6JLoiLlrgKTolST9DBzZ4iZmXa2VIXx1Ia0q1ZNS+RVMFRFOuc
jiFm4MyBMp+aTJ/soKxVp0QrhxcM1VMTxOqelhzotDRlJ5jLj1wfd3U+y7ZB+rxMuYhC1iLa6aRH
s2kDx6IS27sZYD7l7kC1kzp+mKtsX9TmvUpR7/swDJ/KJthpItd4RgDi9qKsPxSdeRNa1bEZhNDJ
ynljWDSbaWIDpDlcfFVLws+daf49FIHlJ8og7Y18Fmo3SZKZmIl1sIVJ1zK7AbWhlKPpNxcU7f8d
SPF72RddQwelkAL9K2TwXTzRbl6WOLt+/L8womz+hZwIjBBQTBc1deUf/AsjGspf9CwSZVgjEAGR
2PGjf2FE7S+ICtqK6IF3i5Kyosv/6XWkKH8Z+Gt4LACdorqigv9RbN3+g5u/1+voNZZPJyVuFN6C
rmgiCLsqM9NfYWxFCIuES5PWB0gsFGehbQXksR428T5ctKT7Iw7LOpwKcqqbzFlWcBNXPImgQrWY
NQoBcNrUwfOUpRINYoogFtQHQe/0OvojJstlQNAlmIiQBxgVyPXV/EQSj2bO6EpQC2Jx3xmK/ojf
TTa/AMj/ruqvHaOQKLyCYjVDZn9ppKIyKTgR0P1ej5N3ppLQz+XOP+8ez77zc7uLbX/ju1t3e/R3
Z9d9OB59vvU8hz/s/fborN+6Z//RfdzdH92n0t7ZG/vp8M3nBfydfd7Ym8fbweYJnu3f7zae8+Dt
HcerbO/0ktj7h62zd13Zdu9c//hs2Z+8k8sgrr11vTvHtvdH13X/oQ2gKqST2BsT1V6zMX6f5xVp
Jy2BJqVYunOP26P95Lv+YPO+v258+972bXt9t1vHdQ+Oe/B5E97B/YAPol1Z7G8rfWWxC8ZaaKz0
wX8+h56929g7/8x6+f7Rv+c/VpGvbM/zQtvZb/c/t5Uz2j/d7Xb7c7TvHj4gnEmryf43P+X3FVlX
7BciiCoOQ5Dwftwn99HfsADe9oMpfzgEfINfh0B6l8koCu989+7p2zm0z7b39eSI9gfjKBdS4Xtz
uToti0GBeVwHevJ3/hEDO+78R75wz65z2O2ObO6zvTvu+O2y99ikV9t86WPO26O79Z9t333C7v1n
d3c+Yw/sy/k+tO0v7JKPudv+ztvbtv9k3zt7+zKZ3WZ33t3/2IX2j/v1Rb89np9j+3Gxv4X2jtnu
7u/P93z74we77dvO1jk97J0H/r7bPngP25/O9mG7fbAf73e7ybZDe3Pytl9uTqcvp/3W+7Tbb/9+
uHO8jXPnuEfH8x5c++XGc7bbu4P7sN9ubW+/v3Ee3P0Wq3Yx2IsFM/OfWPLRdRhx6zC93dk/Hpyt
d3K27uWBnx/4Zw4hzz3cPT1xxp2/P/Ar63F6b0Ou/aWEKmVhQ47u8+MO03Ie3h9A+ch6V7/2i/Wa
YVAKRrKeZ//Ab87R5ujuVk/k2Y67dx2H/50PDI0L7IN5XTFXWhlgDkz67sgxPuA31sO7/uLv87N/
xFCO2Njz0X8+nmsb/3Z8fsYS7ZvNzr7f3W92m83G22xubLaaDTjgV72vNzfYhG3f2M5pu91jq2zk
1nXuDmyhvfX2d87hwGzY8vcXkezog+msP/9lFVNU60PJKrKEmM/xjD/C66+L6OC7axuHbn/DJdlM
BBe9s3kg3sq/Z5U5aavj5Kt7nrCzTzY/4qv1ubvd5sTf2wfm6O6dO06Zi7M7+s46P9c5cYnsuFJ4
yH7P3bB6XX89s2d/nWhkb1lJnsM6+i4rdVjN3t0+Hc/r4pxdnvP+UiivaXG/ecPLz39ZiRaQNDJW
D8KWPnFymatzw6XFSTlwuBznA/crr77vnRNyzSKl5tCqtDC7O/rn59VZ4fmdl3V5Hj4wWlX8aKir
m0eH7SJIzO2AJzizEavdHtZbHftcNwZfgWfAYeAK8RwH5o6/Yjv5lpuan21xMkfX2/Mlj/Z3BAZb
foq98zWuzcEWXC4RXpKXXx/ilzx/90hYwaHEmV4MZR1x5zvPPIS3YK82tj6cbzx79Y9bxuWxvOLt
5szL49N4KXzzbuetVng8Prmcr92jjU/hORyedYewKN4cz+f11hdzblaDZSa8I3wrVy1n7bO3Xx/q
7Xcs9OniHZj1dlMyeQ6f7Xtb9nu1/9W2eW8bnnnvvPCqeFFnf3rAV6/LxEKtz+Yg5FwheDaHf37f
Gl9vGLRldL2mTCcwXYZtQID7+lgOy2KFImI6KB4CqqyuGhzUKp33/iivfdm/o8D5o2WoaclE8q9H
KYMWwaACpSMoqCkEvYBCFxHaczjRjwP5n3B6f7zfZwXtEA6hCfnQVOl6+nq8TFoMkGvq0n1jqT6N
mCY/ygbpjwLndVYwfOnQZJi0g5HVtdvqry6Nlmhx0oiU/xIVdpYY1/muq6blgx36fe0YxdJg7JsW
4fna7/XXUShQilFnUHCYUjUy6PIzwTpKG03r7dKaS2gy9Rg9vr9+rwPIy8wkhAgyyOyaSKlX64eo
i1LOMFPXrwt5LwpgY0ObJkexNz8iL78x1EoPhSGsKQYE5qusQK5yESZlylDZUCFhnspNiyDabpM8
278/qzdWUqdrriobqkYTWjpYvFpJrdILUygA12ETJDsEX/pWJ3+7oTWPdR4b6q7vj/eGFb4a7+oG
R0a6lPrAeE0hLdU2l4JK8JJBjz8Y5615IU5BOk+ujE1eWYhV0y0PDlVthzRtc/uhkU+RTo9VTYXv
qE+m+sEN9ta8YNIZkEYQJyjy1VU+ZNQr+5J2llbZA0hbiewBJ6cf+Iy3DOOXUa6vySA3F7oyaoyS
1dHgBJoYzxDdhPlZCYf6gyV8azAdmr7BQZZWw39tGpKgaWAhlN9n6EZuJ2e0T0zgylh52Hxwtl6n
wZezpf861PXqLUbVtBKrp9EaK4qMcGPCBfo8m1J6M2WF9NyY/dOfG+IvQ14v5aDCVBppC0wDJ5Ee
AMDXPl2tQ/d/MApkb1Mnx6eOs67xr3GNVUXNIkSI2mKrv0XlCy8UAs75fzCKrFqcY12FfX5l7IEG
7zCyjBrwPY/p6lVCXR5KffP+KG8dKRpfqhSkJMuwpCuv1FhG3MT0blv7VSm6Y1pZus/0PPiZV230
aOGquv+JBdJVTCV0VnSA99erlwhRBjVOqWlnZ+gbAE6gePWbXMvGB+fqrdNroFpCVrR6jGtGvIUa
kfIpDlcquky/M4fKUPxkmrr2+P4avj2QKsrr7WhCw389I5i1UThqHOAooPfYmLemq9Lj94NLWHqd
/63niaDS4pJf1Y0aE3o9TCSYcZ9pxUqZahRYEcroaAuNVSEzhhvQUOryurYJApoBKFo3AvUMRW8v
6Io/cIvXMpzLO6ENItIGBV2DdO1EwMzMSJrKhkbOUboXM3kAwaiUR/DEY6gL075pq9JrUvrzKAri
gWlGvc7SdFJn7XoK0R9EQb97Got7dbViSnsUhZTXK1NQgk9hv9KNIrT0+9Kca08Pm8wdEMK6Inrv
b13cLP6f7jqD0tJJxboUGTjj9aAzjTXyXuIympTSdOikCmqi9MUHa/3m1H4Z5SpAmYfKWsIVLqUU
M7h9mMnOWAfCJqfJ0Wx9Leln+8fejXmxt4STukFgeeW2qZtCIRSgD9F2r7Q1Q6NhCr2nP5jXaqz/
naqtxswoNPzXUXEhflllM7/6UNhzNHUZGKUSzVFBbWLlui13Y6jAZwtl2ks1UfxMr6vkru07mvi9
v3lvLSvGu8pvNDzftRPS+3CiP40K5yYv6BNDk7hdFfXLMUG1cCAqA4NNE+kDh/TRoFcHuGiWCW4o
FyKxtj66Q20KBzmg3w3t8dojTRWtzqUdECKI9yf7u4+n0s6xEJHCwtu/rkdPdJyuoZFyPGJJe+qE
HrWLbA00aCwsYKWoELov74/4e5RhrbCEopAH0eVNubohe9oWFVpL25ohaAtXr2vY7XlCS/Zi+vPY
k3iaWGZFLUSi0HXRf7mMU3VBraKrkFxobOWJ6dL7U6f9eUSNahTlNQAJ6weT+PUoxdyWJayvyhaM
atwoqZrbINV3IvQRGml/pO5943AYBhnCumkqcMXVnNSuiLMIINLOBrFF1iPkNCzJYVfnmulVhj48
TqOAYAbqbjR+YCxvGClac6AkbBBhmnHlcIx0Mpe043pehI4O/7Um04xc7h2YLPWubPSF5vd0Efng
aLxhMDApVgUdmjhFuxYZky/onbJi+xqtQu1KsWiqK8E2hXkjfOB53prgJY+lCQ+dAa8NxqxaGreH
FRFPVA4Hva/7Xa502j7GW227wID7mdW0nXn/RLyxpZQfqAlwga+ViKstbaJaXrqOUZUeYoqdxbHp
jnHZ7rVS6aFblYldmGg56hhGyftD/xaeXEA9Gl5JqiwpCJ9f2y4E9aKqaw56mJg0v6MJmk+dZPjT
IGgdhZldbBb5+9UJGUMZToCO4ybv6zpHDwchh/bf0Aj9/en8ZioMRPRDe0boR8htrwwUXoLUTB2H
Iy5I/SSpT+8tuJmunETp3ftDvbVyOBfiUNouEH6tb+WVb4nVWKvQttGFfIIz1wvLM61tM+MDk3xz
SrRxxzSoDhDlvR4nXhJ4YWIPeVuie1JbzepBzPp8V099+0HU8tZQNEOgOYgugUFfp7TdSCtpyGUM
VYetTekD3eUy045PnLd/vnhERhw1SUOXfin7/7J4MKmieJIrPjVCFWOvEYhFozGqvT8eZb1luJFZ
POSMV8bdhkZk1XGMq1w/70WEwU4XTbr+/PkoZGHU9GglYfKhR683iNMq0RKS9ptjOlsOeL0AlZtu
6X9+UhV8AwQdyAGg8fLrYYpyroNlhp1p6cNn0ygUr5CD6s8t4NUgyutBDBmJphDyaR4qwje/S2ma
lCpD4siS9UE9/re449KWlT4s1BlE2ItX05FodJyjby1tSS/FmzqZ6odcGcudFWoqvZvGadq8v03S
+oqvosp1RD6UijaxKg0CxKsRlxoV5bjKXdXQYm5IH92pgG4cWCsfPNICWGATcp051qxNgdTxpzAL
+1Yr0CMrY3r//tt5w33AAtB1TaEx7ZosvF7pkOYfPS1AaaVnDTSw5oMhPOoEP/58EJiBsmqsmk+q
wa8H0etxidtKozNs3PABT/OY6J3bilalf3AG3tpNPqOL2pFsoRW/Lm0HalpAVsVu6NE1OUmk6LY4
Cr6kDduiE+YPRntr7UxQFG5K+inI1lV2hRYC3uZQQqPvtOCQDnO9q/Cg7p8vnrnuDXEWXZmuGSFG
ZjQKrV+5tJAi3ZSIoLxJQ9fxx6OwbKRTeEM26tp7pPScTxHeryGqEZ2ykcZqfARK9Kf1IghAItUB
kRsLPpB5lbeZyyB0F6k3DdPyI4Jjmc9nKcwP/O3vVYh1GEMmRQFLoYBzZW+5vpSauH7KQNIH8Y0w
mwhvaj5AYUQop9PN1Ry1+0oQA6+OjOBAvfu/eDuP5biRNu1eESJgEm4LoKpoRSOSIrVByCLhPRLA
1c9B/2bEIoc1PfP1t+iOXrSUhbSvfc6F4yMH9fGMvrHh+BGGbVikCQjbe38lAv94W9ZWp00XzeBg
pZfN2A2z7Ktbenb16coelbLCWflFet5NqHWc2JjvHAMcAYqxQMgQXPeOvl+rpa2PpV8HS5lZeSh1
CmdVk15ZAhHxsY/598ff+s5J4OExCXhbFuGNY82T0XTnctW5RYSUYAB6q9u75XrqJLy1CwyWlDua
HYSPePxZRoFH3LksqyNTSgo9tz5fqtU9F7EvT2yhtzPIUKSqkINjE6FY8frGQvPX0TubGaxzO9Wi
pS5AoOlUNjz6VKH/lKpU8Ylzvu391+8C9ocJuoPcFbEa8+gmlnlrI6ENGK2pSi0Sfms/taNav7ej
i1SDUZnfCYjMl4206rOyM/uvHy/h2+1KUBAvCfHvTfvz+IvLqtWTSRFN0YsOLUjH/Vl07le7IuSB
rmAZjOKURfl202wjsltwvgnv2ke7tFdplppGW1MrbeKvImB6xlE5pdq0rdTRtAosfl449idvj/V6
Jc1s4P2jXxcJX61bQ4820Od2XUoRdU0sbtt8WlHE9ORQoXZDe8mJk/HOniUHhCmL/Uc66PiN6FZU
ciuKLQKtiNu9neTLgGiwIR/qvrOyE4O9c/FR6bcFGNBp5Igcy/dZppajTa5z8J3+lthW/oBgax5N
oiuMSPTS/pxbdNoChVL9sDfRRHa3dqr2EQWHqgk+3lHvzDz5WIMgGaY1wcejM2QW/dCtSBoizg7k
hSD68F052PKIavhBscT5de89GW0i//ZTxiSQRt+CZhxfY1uSPy5eHeExu222uOAiUCAdEpAuB38y
aOr9+APfW1ucLpS6kI3Efzjyl8uqymJKT2t6I8b4cVoyCw6T4ceXQypG94Td+N5gKHYRvie+swWS
Xn/VwIUhNeRagxUdtIuGptdPqnK1aHJQVP/4u965/ByG8ElLsIUQcXs9lBELe3Ervsul3/tnNhjL
oze40yGviuIso77ry8fjvfNpBOopOyYNQpb72KUoBJ1w44LSjFO7XqRJXGZAc2TU+TN/f8k8Us5Y
+38Fjt2jSzZ1yoZGlowWPJROYO3M40jf8VpZ5zBfCAN+/GHv3KkeNpXYbjlKII7jVNlcOUVCX3Fg
lGUWokDb06Ddkv0LY683fw5LR7t9y1tzwql5b1wijSh9YdU7by6dcVBGYVou46qKKNE8puKTuZBt
7KpUPqqNBuBNUjth3L2zjBQoYAK4GF9k9Y+Mu8mdRDnASg3YpgvqQJxyWonq0HX7U3Kt7+xQagYo
HEDDwNLfqGfCJBrdSZWQHFEQCotxNQ+LM3lnY4fcoKoS7f+0CvzXZcTs+KNHxPNMf0uk6GgmiqNt
0yo3aWfPr8hzCufc1JCtLxO7vl+9tDixQ995FT2sKAvzmHp66/j2Ek5rDghQghtK0uKT6LI1yoQt
9x/vzHdH2YLepk2mDifm9RHXQeGWjs1t0maoXbex7l1KTaoT8bb3dgT5CyxRAsU2BfSvR+npw+uQ
CGKUwp4hF8DYW85EtnV5wHfS2xNX5Hu7Aqtw82MwKkgnvB5Op5Goo3N324DD52lY78qavlEUNsrA
Rb7lxEK9N9qWskUijVA0ScbXozVonjsWLaP0W7bJRZV21r6HmXauz3Nzuap1PPF17ywZNzKMZ2DU
25hHS5a7ZqNmmgIChbYAOVPk/6coAV1yyop4Z9UYYguKEQdmMo+mcW6EIYeUczxPk1tGcFbHyM1r
D35eGnefP96I78wik0jcgU2IBt2xERjPxlzR9lsFDjKnVUT2tP1RdcKGtUZzLMLvk5B//3bkxaaM
gE4WLsjjMPdaezR8z+jGZFMa03AJycokn9WPtrYTaJSjoGOoEy/Be3NKJzdXsbnVFLhHd6McMq0p
NYGN2RcXJqngXVFaIGCEeSqIf2Ik78hOcBrKwihBQlBoHNLpvNQh1kDt81GcWektPxV13DbD0c2I
SvTGMcc2MQkPvz4F5dB5heyhsgzzipTJYmu3qxP7EXp47Q6xsuXChQn05eNN8+6gznatcBwES/l6
0K70FZIpVoUSOpOYUg/yWC7Oo3SqDp3+1tqrXooTY77jnuEG/qVcyi6l1+n1mL231n1mobSEp4Ts
uqwu/GYuviyxzH6A+y6/gjQBRYDM37mp5lN6rW9t6S3zZG/e6NZ4dXz4gbm4iJqgAz+6s3E3miDP
C9kl37S4Ha9XT4t3fdz214gFnHj53t46DIw7attbEQFBrtefXQ3CTwfik0FsUj20YdB2mZWZdx8v
6NtbAK+Tpk/KAHn73OP3dXKrMU1NxHcwqOXXZJWTjAYw6tWeVtv261LY5s+PR3w7oZufu6X26X6i
nvNo30rQuAjKY0GUKILDb3KN8QFeOeprXS5SKrL8JBSJvlVBKisdo78/+mbFc+Eh/k2c6PWsThqt
1ga97YHeNLJAA7fxkU+wUfkJfVWkBnmjGH1rtB0AYxIsNn59PP7bSwIdTpNGPVISuC7HirgO2QjM
ZC4Jc86tc/75ljdCHUzpefu/PRLWBZEhTsy2ha3XX4rvYPprwStJl6dboe6INYdZ2g/2zpnQszsx
sW9PKerjuBHYhajLE715PRzd73lG8RTPiVm0P3lAolxlULLymAjcUNWHpFzalwaY98bsFE8ff+y2
aV5fhoxOKJ2yT4x94ziYPoyOk489o1M+ll0ajaMHdlaZf/tIbqNgjyILDL/jOFDECfGo0t6AlErz
L7JFIKg5a+f/g0/xzO3UU1pKCPJoIin4Ay/CII5am1uK0uOFRLc+narTeufkE9ymws4ky+0xba/H
8bEbkW4cAVyAf4n8llZHxAOTc4r+5gsPBujfNkkp64GlR46M5BU+2evxesCJdbstkaZl1q6YvOKT
TdxrhybMKYn/9/Yi+dgtqUTA8k2BSYnEB/4WxHrXVf25ntGHTTChjMxFFedN3+kXLTn9O7vLmhd6
UJoTR+GdGw4zDn+FeD7VS8dn3C7yiaoPjO94TjQ0vIgo3gqvQIxTn93uwTQ1YHW2SNsHVAqW7vbj
/bPN49FRQIeYk0jCwyMicbR/QJ80/CbkZg1YqS8sRuoElclhDEeZIAcnKQG8p4QLYYGPB37namNg
ahhYZJJsxymgIU37NplwAhYD1LXGLzxHb1Y+G+6Yn7Bdj447X/UalnH0jUbyP4JlHAf1/u8wxA6J
InroJm9H6I941mlkheflw8FZ1OPfIlYc7ac3P+Po5Ih/HbTjvXl2OK7/j5WxLfkfE/APsTKOpvl/
w8o4uvT+mkp/Cwp7BKTxRY4+aDF6pCbnZEv81iiMFGmuP1UxKOibzjJrDiulFsup7Mk7swg5mQwf
/eW04xzXpFiLaDu79pNIxTK5HmZtiCpfnIp3v/NpmztAcIY8Ii/+0S5p7NKKhTIx3wbliu+EXWV1
GKzSNc8MQLXrJSo5rrP7+My/+TROOhkTyhIoeDftv/qR/9gg3TS46FZVIrTbITnTu3hBPbCN/57D
T7UDQWyeQhKYDmmuY1N4LFL6R2oTUl0KFzRcoBKi2jj7O2OR5C/MNTlxhx5dZX8NyAbh4cOgwaw4
2pFyFRCVtQbJuVxMQaFWLyKCmIUGqmXRxzP4zlA2gWzi2LhwuMRHBmlDW1OXm74Rxpjeu7itVnzG
AdYh/SwnpvG9oWwG2VBSGMDH0V4/q3UU30orBDUujVsoYeN4YxAm9cDjJW4/nEhsHT3D2yxSekAa
mH8IT9pHs5jlTotokGIWe72+lKiWH1BeLUMTiPY9qolNEKsxC7Nytq6UZasTi/jmQGzDk4/AkkJy
wTq21kzN9zE8JTrxhDk2CjN0OqcjGqxrFo9yrZ9wpd6eBYugL8vIbiUFdBy92TS/Y1ANqIihzXaW
F9W0a1M5nFjEt1/1epTtsfjjxOWodCALZSETrOluiJwNpLcZMJsh/btpsk4Ba94bjpDoVgxNZ8Gb
tgK7ImCZek4SpW6jV9m+Ed2SylDahVWgfOWR1bQ4hjZC9R+fi/dmk8wkjgv2tsMSvv5ONVGxXzv8
tQui3p9h1KvAHE3x9zJWbFFuSy5lLk6cQoALr0dBHKdAz18X4cL3vPh6jX7gXDUn4l5vv+UVoem4
xPofIjQdPQD/EKFpu2T+2H//JKHpKPbf/VsITUf7rvtnCE1Hn/ZPEpq2W/qPBfvXEZq2Z2VTtEGv
57gHOP5nCIVHe6//1xAK3z6bZBEJWfFEu1gff0k6/DGB/4kKRJMuHg+1anpzv2ZdXp61pTkMJ/z/
I/+NK+mP4ZjRoyvpXwREfHtFMSq9cCSL/kJsHY36zyC2jruc/xnE1nEtxr8JsXV0cfy7EFvbwv6x
O/93iK231sArwpY42iX/SdiCd5DU4URhgRVufWJOmDp+L89yUQOV+NgSeOdAbFFwom5bdAE/4/UX
HvOzqqwZ0zV0114ZXZDPSOiGgycnBRL2/9Ov/rv55+00OtTcU0G0BVRokXg9uMDg7/uR/u6K1GdI
JCl+cNRgna1WPf34+DvfOYKkqbhjTMajdPBoA8GkFFJDzDmyaU8MskwzIq2f8/3Ho7xzmzEK5f2E
NUhBHxcM6gYSiG4NZpx6Z3QbUY/co0wtLzqDCNHfHIoV2+hWW831FkA5euRmPEYSilkd0VTe3hWE
2iO979RBLobz5eOh3uwRfENsVNIl1JNvlZevlwl9hmU0mqylp0TL4/N0XcayBwve6X4E/AMJ/1Co
ps2/kpvMzRMblIypxd//R9Bt68HeKiMxzbfCD5Ibr8cnTZ3T7QlxZrHB2HaBtlqFWdxOxdonObgb
0cNxh1G9Fj4K7F0PDFv3St3JUeH0l7jd+Skqw8bntbQW+S1FLtYX50iSN9qTdCu3Gb7EC/rX2Zmr
Tb32syozLfZCLdVjLQvSfKoASOsq0WMrlEs1tXo0TGR3odr5WWc9THPja3XoSKm2/1+ucKpbV5bD
b2PQG/VlNVfH+tSVblf+bHMxjKE5Lqmxy1CKbrMgM9CXvRibLL3Q3QxZ69HNpuV5ltVAPhwPVs/d
PXCXeAwXI58UtG7KjYAGF5sSQ2bJAm4REyIuafzp9Z/wdYT/mPMHrSxASrY2gCJ4k5ns+opFLiIQ
KaV/KWkvK0I7yzX1WV9ymz70esjiOCrJiedhtgx+9zgL0EQ3XW1r1lnh+3FvR3xLbb+0YLOtNYK8
RjL9rEkVTeQ7chdWSYwCIZZWP+ugB6jDUFJZBfiAH+CCyyIf5oal3/plsKBqrEc18KTlnnCRUf0s
msox08OAMOCXtsdxn6KiqxsNRIxbx58GuCvUNiPzm+IiTT0/1aGQ5NkYE4AEgbVW1fq5AawdR36C
LMVu7vV2CEfXLuhk3WRnykiztNH/YseL239tRmjiY0hcqRo/93VGjDWYKsJVEic69o0zCalqvnfS
echxX5J1BApTZLomsqAwu3H94qCimDymtje12h7VADUV58U4jfLOBXgxTQEdMp64U8qtCwUGJlEL
YQ6c26UOUtSR6y+dK4SOx1c1/vC0LpaKZziE9qrdeeiaFj8EFEK060tN85I+WlWXmR4Jft0eP9eO
1O1f5roKKG6VCVJED2UyuZnclrsz+nABLNENUeLXKmF4miL8BzDEJSXqY+N46wEQVQXMwywNmD8Z
+1bBGyhGV30lQTqZwDJHka+37ehR9XjQen/pLTR+q85OwjSTpmwuM/RoaUwAq2Toz55YoHkhYA3o
aQoTxNKXl0b6q3GhzEasj6LqYJZbfjxUD6hxzkVk+7GG7rGwVjfw9CGuoqlOF7TbUUSj3Z5w+/pU
gMDRac8dnRGZE9W6V7Ws2+4JuHVqIp4vCcmHFNb1yN33cW0k2lm7FKOdgOcSy/JSiZKzuS/1hasn
cHN9pQikyrSq0y+tziwbP1xjZDfVodooK0WoS0DnXrCaOdH+y1GjH9QPYY2NK/Q6jTxVFEtEvpG6
qBc0o/cUAVUe+CLgWMjzZ/paqRdqKCGRBnSQx9WVaSYadago+VB4HCw13L1vdtuhCxy6ib7q945s
kC6gL2eJgZ2sA0UwY8Cdao8/Sli9CLJrqKd3Y1gt+dT3F66Bbu3wKa/Rc+7Ou6GQzXjoZvp++3CC
E+s6UWM5sX1VWZkD3yv1UlnJ8yEjJEQVtOHTWGehUgP+RyBenqNurbzGPF+tkhvrMS5sAA/3sMza
3Ofa8F1lPHZxTdYXqxy5Fjh3Q6W51zQDzvOlR1lQb+6aZBUKOgGPxa7vAYfpkFJU1t2WGeSLsxbZ
jhTscDnUOXLCtqn8nx50m2TaD0iF/x64RdxLFKF7/auboq//AOROb6nroxyJ0kLaUeufJnLOcWBO
WAihmtNputQdNOwellTvxycIO11xQObYMS8RFK7gc/W2/t0dSiSM0nFpzrt4RZnajg0kGlSbGAGU
tOTaiU1549NbsDcLP78hc9bwXpeu39sPXgpfZkdsq5sJYDeyljdOMylagBsLrMCzafVL84NvSq3n
wYEWGNijpvkHfhYkcAOUzxJSaVBYBwqq9eKyX6rYjlCkH0WI+LXZPluj6Wl6oJXAha40CGfFvZmn
RXtlZLUd37YinZcrrrjmeRXEZJ+Sym/jHy7UhPKO69tz74YW3Ooz1T4tIIpaS10gbM20HKjtXYZg
41MuYtdqZfyrpl+zu6UwNS33c5LO/ne2bM2eiw0KWu46x6yqnz6UIYe2wY552NXr1Fm/UjHBVw20
ujPZ1ewRfb7L6fqovpRFlmefqwXEyIXUMgESQsxxkT/FiYcQ95lQoH7cvW53yWyczTh4MXLPysu6
35O3KP3XlAMFUYEcDDECZBw0YX43u3keLdrjq9lZI3owph6t5KFOkhlWokxtujHAtVF32knko3uI
fVVb/XLHUteLoPbafmuuT1Ck/9aKTG+e3FSUKe9QzUYH9cNL4phhXiNtTu2JMZagA2Xizd0BLEdB
g7lv+O11qtnoI1AKM4rAq2eucIoL+vGlpPITbW5nTkduQyM3wpxKD6oojVobAnuuUwqHKFAS3tOc
kBp9ipVW/kyqJvMIjRZTHtpjYzwZGuG50GIvWqHbJl35ox9X754SrrGK/FKX851TqRlI26riq1xa
sgq5fdpnzyC1i+71lL/0lO3cF6DtfjqpPZRnTT1bd41Szh1tpQh2by/BS+LRtkuTYe9cVMiQj58x
Djzefmn75aFdEbI4oNMSDzvdjcUMDsLv7LMVpBRJVq8vn2rDZbGWVTvvukU3IgKxUg9kg5xBSKkd
WgN2WxTZPnPs+Api8QKjpizWb6nGk33eDGYrdo3sFUXWw1Duug3k4niLIfYCpfYD3g4iEw39bTpl
a3Ero6asaj2cKAuPOhIk40HxHS8W1ZZFCGZj7UM7n1iUdCkQAJqoWx3CpVNjfg5bEP1yMXlDscMM
8ROEgmY1RemCtX+BCl2xYPxX7lledsOMYIzyjEjXeIYCYxsqRHMKaGVljLEIO6N24BfP5mxQRpfI
e64780tv1dUUmIvfP4rMTR7tZI5/S/rP74wOtQxmRNP0PTA1in10t9M5D3Xmq8D3euxT9HAa56qJ
SxiWdQ1p6GCKPoO9WNOFA6hpMOdH9PGHNhKtq6VBZvcKR6xmazq9X4pdvHg6eu/8mZttHQi7L3k9
hUMcm3BLwBC4kVgxP6g8XOCg8hMh0TrVaH7zlV1eJhYyFxG1yynfoM+DdUi1FXaVuabZ15qlScNU
FRr4yb6w+bVVugcm31QU9sFZC/Fvyn0mCv6TkC9md5J7FbDazEieujzL4jMYaArRdYwTiiwyz69D
3yiam7xwPLl3AQR0ECBHZ9hbda+TtPfX3A/qta+XUE7U7gaabUjB0S91e7eOZXOv3L60P5d5AlBL
OVo2BOXsNqDXZDvP17abNDRSJxaVTVWiXCOqWc/mU7vqkBaTrATVZxVzzB/SBAalO4KEtOj9mYLB
HbjM+jUVxb4qJ+3GpHiq/m7U+RJoHndm0DrzmEQyaflrrRwoyW7C4C3OHTe1E2rB4Yv6sKHFwSu4
w7HW/Sr/la/WrH456OI8l0XDe5LJNLWiqvf9bj+sic63GH0VYi0JRLcVBR0X8dzZT6a99N5FFVPp
H0prSu5XN6mgsVJbfzlPMfbkpBR23bQ2vhk5tUjmEGUeH2FFOae3S2uaX3vhy6sUvrUIBt1KBi5D
P0vDKp64GNVqiMfO1JevgJzADmiodhn35jggfGBTxFA+5107WWmU94D/PnEslxU5xZmXz4lTXbuV
mLIP66jBRdVrM72sDXuELom29xr0eZ0nUZJIzzpjqewJnpJUPVu18u8nGkqyXTynELoSnHF5lgLF
c/Y5xTgwiGlUcvfxENtztELqkYGsZ+NZKG0reaJfM9uPbJGdb01TA2tBxtDlJnAKyk6S8qBhQjcg
0ixFhtnN0xCkF3cXaRQ3B0tDE2R51tHRegvlHigyyarJOG/dAWZkq+GmcL6cVJsOCCPO2VklvK65
xFbBUctZluwMl5+/R89GG2TVLGh2p0VFfkk5Wr9MY01+yqZWP9F2kd9UkhdXlU313d7CJ79dszF/
qGKtmCOdDfU8WpXeH/TcAquYazp3Zmms1t4FzoBRoMe+FtkYFNbBMWYjP7cAx0Bxw95eQ7z7cgjX
obLuO7rolh09Rk0k48zhLYD3U4YU6qJOFRfCSzEGK3zSqbCcW2vJkLhYaVfy91Th691eczt3fswq
38vPB5FjDg+T7u7WYuIdAsNZWcOuQZYuDRxNky9ZQtt6QIufXj5k46L6aCrb2DpwFdfXoFohbmXW
6tBYM/pOINYMJQCUhPzfwHXm3/qg+b97YePMTlncLuGojzYZWa/nPaOErgABZwBtj208cipbNklI
QB/tN6UUvSyJtMo86P3V+kGOCbdngNyAiax1j17s1t/LatGsC4v+84OhO14aEuPqAJVsJSd7elMg
GWd2DBZEytYA2hZPHJd6Tb46FegyZxXxN39YtLvRMsc7X/NVfmiweKYgHmz6hl14kPouzbJ2r0TZ
pzvfmD14x/AgwdoVs74vhJq/u4iO5oGtLcMPeBZ1iV5MZTlRPJvuodDphyFMk6zfen1jJcrGq+az
Ke+t70rRUkXXzlJ/a7g8gIKAiLo2M1P/TbBKfZq0qWErtb3zbUqK7EHaaGDQtFj0FyPELItjO3K/
L9Rnw2alzHaJWpWWv+dW175X/ZyBnlmX5TNoT8Rd+not5E2WtoIcbTlVv4yi75ZQLX6e7xZNFAQH
5mK81Mq56XAQlvZ34oj462I1yd3IE37rFHJ4kYNNUnti1n647dBdzmVrYOtXrHmAkstswM/SsAOL
Qm6NuaJHBgBeK7RhQ8rxk9/heQdgfAa8qkVuboJnp7eGWUJHbWBBrhQ5IVe0B+cEgwswh+0eSJMa
L85AnCKg6V67EZ3NcTdprHQjYEpVFs00rneBcGeXmAplC17UAgODl23NNGnk81xfrCSYxR4yTLLu
TKgm5FjFMBzcjLkGqFsOTliPJuC/sXfZZPEkxE0M5vyJ2GfxoMyR0A+O39gHVuO30AXRWHCC0vHm
+7xI7F9T7RfXCoxtcjFLDeii72HE7Lu59IAfjaiBRnpsJOdG6xbDfp59/4E3vU6jyU6ry4we7uG8
qwvnK5xe7XrOYOHuDU/KLwkG63jhJp1/L/14meluzDdaJ7ReoCiybXeeMbv5WWuIKgsT0YifXmvN
KYDeuAB32q1PQo3NEHY2KHNIXoumgoWVOZQkV9V+muT6HCfzMl9xW9jl3ieQtyuFNyhYhc2EOdsk
OHcxH8/sLP7yPJLSebBzK/mcd7TyBulAQClINGyAyMwX/XeRZuUlDX3bFU7Aytl3U9q44OeW4dYd
lgl5XtQbmIBVOSFauvoNGm7WHMpmdapg8jSn3SWY7XaoFUI/tyfFZ/q0OSD5CNfaDTjP4kfSavGj
3oj+i6Bg/msl2uUyKcZsDgdZ+F88NdU/Cf4Vt93YlN8ze7XOaz6zC0nJ4/7OpKXQw6Cq344M5cfn
VtUXHuOOCztKiyEGxbo1mYEBBpOZ5c5IQniz/X2BUAjOvkkJBren295OeKmAhOIuM6gG0uyvgKjt
a9fJum9UQokvlquB6+kBJX7P+9TNgxnqrxX2Ze0g82ZnhRl0Y+99ixOFkTxKP7la7XbekMlGfR2P
OaxMPZnHq2ZMMFJ0YzSiJXaLmsatVnOCBb/jRbNl+uKljuB3mw1NH1SJ1AfRgGIPlqmbcYFoHMX5
B3nfHmKggtcxjGzQpJk9D2DvTRdulay9cYfVtEAg69fsmUJ8KHujo8At4R+tYZlsVlsLPvGscpAe
DKbGceswsWjJv/C6pfuGpJp4cFZfcHeDbLur4eZ8scGTLuc+xOWHhm7FHwNF1NcIRNTLHiAzPL4a
nYtnfSZ2Gpi8wLT3p61xX0wVT0AsUcjkinXcu7nS3S9gGnHlqBMWT3KaeDpUvdDX43T5XFwMemZd
Fj1OMravVY+RVRnac+ptirL4DDEOqSeaNuixWq7KtRr6oBFFOwUccec7rMMi2clWFWc0BVQ8U0me
31SQmhLiQK2WHYo2zq66FSmEQ6z5xrnX5+6vpBTVBRXqWDHFhIlhDN78QDDZbSMKjWMVzp7myciz
G0rkCwJiiFXSGX+dwoX8oYrBd/bDUJt725mw6KshW9PQ7Lr+RW+Vf+u4KOJieSA6EuR2CS/TR+bx
UrMQsIW3maefkzIfmrAZKrOg0n/C9vKQn4I/bSXl59HXXBWWqrEgdwljvhJesvg8hUN67yHs6wZl
M6Tu3vLgcrHGDWTfnmbm0uy1FyqnaGinrd3sI7uw+6uC/jd1lpOWenA11ckLiDs8jhKzGhCxMWtn
vtTn6aAnjetGne3Rh24nXDKCYNlFDJ/3ph+K1t+ts8wvl2rpbBwwe7EC4HD9TaocXrXKTew0Ksau
At9Lcmi35rZ8tuNm/db6s95GrGF+Nc6DaUS+6tncRR6XXwYtb777ZSGS0MFC+UFeYbnOXAXJCp+5
+jTMi1bc6ogtDMm93xD3jebagkgUxGPavRhgATE70lGMn+C6JU7kVV67fM9XTe+DKh84BZo3sAo6
pjqeYW/l1mFKfZcm5rTzfzh22lW7tutX9aLi0fjsuVp9tky65OCsEyzYUvk/yrEugNgbVfWEPLr4
MtZa1kHW08oXPeXVDXQ87sdVy4AGto5f743OYZf6DsCxndaPvrebx7hJzzrC2z18TWGsVwmIQZQ5
cIs/O6InvGjMJr3/FjHrIkqb3JsDaY31vPO8rM4Jc1jl53xGGgGB9LXSgrmT88sgMsxQ0zUqd1cW
/JionlqGnr3W7SN9XeZrjOcWX3YpljYsieilO/rvy5KYWtN+05bJ8ZIfxbqFFBa9be+8TPO8HYxF
KhiVahcF5MyuiEy546CH2jKvNY9K0zVhbRjOb3NxdRR+WYfUPLN91Xxt4xFB09gdWwsm4opbs7jW
SKRHc+rmohemViDJaQE0QkOA66jrGlmGIGzt2zFT+dWka4oujUHhCiWr4+BfzR1S8bIbGrU3TWyM
QMrEwrVsyo5YOO1791k3mjr/+1R/MqwMu23JVr3cr0R9ReiAkL8rixL1w3kZGyJueel+QtzOAsPW
OONPWt5hixIMAbHqsMxNVHaaJGDV+MnttCB9ExAoyfXDBHFNgVFHQBUCru91bB1TXBcQSe99gfce
DktdGdv1XXxLZzFyTSPQxh9PsaYDDeLsg7kK/6Yp5wFUfdZmt32VGGZkowJxN/ioM6JvPaDrXjnK
JENlyBFLQO9NQ9uPPiGjp1JmyRqtWTLBrK6rdL3OwUbSQs4zWAbeMNrzrlk1RDK1YlXFZdp5xlnX
NPD3Guo2HiS7aghmrfAksQpRJ1zGKQcqpTsigcAIKB7gs50cxsTy1ggN4obEZZwNSeAhwg0Ve4zn
b6IqBv0g8VLPialaN7WrnN/S8sXIvZUMCzRGEjcBJOtV3+drAgu8i83pQdnQcQPDSJce9QtRuORd
UrcMm7LpCLejfjWDp8dFoYD3hpLb/JNCIc0OK+WrFmtfedfkhbrHmHo8PfJ4NJikTq1E/YyBRECq
2pVSubg3bmGa8zYVhii+azJdCUoKP3+Ix8pudqWr+Uuo4R/c+nOG5UT/UCcDXQfDHjhLkZ/Hlknn
7jCTiQnQPKcx1MVy7cKRtF7JSq4Q6t1Z2KCQs0Z89jsDv9qgrfKeLI9BCKM1RgyhcczBYnqkoRZ3
aG7HFJM3Qno7Py9ziY0xJdrURpOS03cTXmyBvaeaqywvC+PcHGINaqmw7igvhpppwxkkwqpXXbcr
SfBdr7VNAEwm9vD4V5Ih8Ce/+WWO3XyjVfHwpEHeK3Z+12a/bCvnOW2mef2uFq27sZZK/mprRDpw
Dqz4plkqhysors2nqRDo805En85cszZ/xCNXHp/KHiMVuo7ROFfdV7fSCMyv64Sm1ujJgqZjxFoQ
S8vsHe+cuCFp1t/jqq5NaCX28kyZgva1IjPBQwZ3uw+K0dCya+RIySclQ/sfpJ1Jb9xIlIR/UQJM
7rySrNK+WpYlXwjJC/d9S/LXz8e+jFUuqOCZbqAP3WhnkczlZUS8iOlLs7gJGX3GSrhBozvdr07D
lYVq3f4lsIPUAi6j7q2uzxlIb6f6r0KVVNbJMGo3RbbtNCpJooeK43MI5kFOV5Aj9NeilXaEH6W9
tG+UtZo21ExZPCi5UO8yZHWnK2FjXDhx3rnOxGbVoZB8bN0qa6/6yNEVBFM5WSHpssCUmFi7+vnY
mphhWXioWOEgq+U3b2jbrCg186ABTn2WcwJYmuOAN9PlAuwRYz5inXMISnDtErU9UF5ZP+Sbl8De
q/Tlmm3PqLh+UN77tivq35EoTTOoVNJyFZ6M+jFTXj8HUORpv/fMClsXXaXyoaME0QIS2dlQKP87
tgMCei+dKcFQcLv7dhTZscLoPSoJP8/Z62hAmlJnuTDp+fvlWllGQLIczTJgkiwv05iJp1hmHbno
S9e9VXkEWjvh+JL7o5qaexuT0x8dJ88dSLO8xwi41u9b1CgRkF2ZE7CxkcIqq2T3LQL5084yYxnv
S0325VVkD+vqtywve0+7IfxfJjZPagUtviv7nlrecFMScoehF2mAnjd5r3KwWULQOy60ostzaKIm
T+51+l3HXTcQ0htHPay+MnOD97voFBXkOtvE2ubkySKOp1aodb1+13K46F3VsxUHS6aYsW6tOb8H
Q1sezWWc+qvGtTlyFm3uZeBMlnoDB3dIPEXxfGbja5tcpCYK/O2Yw/GyaWqD8q+Owe0wmtGjAFh3
fcnUJF+XvHClP+k5MdaNWf+ynRngGR9ubFszWN9vY+FMDtqBEtreip32ouwFf3LZTS0lrekUVtDm
rvUb3sOC7UA4sPHDJV1VldlzzcIfnkTgJAcWJ/F1mYIc+lC/XrpS+1oIE66flGYrDeYUYh8cOYJ/
dxLw3xC3uPoxn43lXWGm8coDkcPCZaMgF3XJPDsw26kfzmZs4S8BfLTZr5lCX6iWqiKMibnWgtpd
hXG2yMF41awqfV6MNvk+gs2+YtYpkzOo6fK5zVLrV7fWifIpejQwf7i594ZU0Bvlue3c7azJkz9Q
qTerr0cZbf6EW5j5hZYX87eK+DrrUk+qqAsHBCBMZJyYf7MeCenGPBmeOJ2KhRIPnQ2O5rlIml3f
peZVj58EdJOqzF+RUYIEyNqNwqSb7XnvpOu4wjNamuDGUIs+viERuOSZYQZEoJivxGuPo1EEJd/u
spK1BpdMy+UvEmeHh6ZaKWpF1EdWsABXGzurslQWNBq5w1drVHQE+a6t9Sp0BSNUxa4+7DMusI9O
Lohs9ywhlou0S/Qnsl7o/ddkQm3g1Li01IMEnYm3OsCPyWW/KyqjKdjc5+qL6KDHOKUzDIZX2TgP
Wm9P8X4WQ/ndaaiOgrQCrPYLEVucZ3rRPA2tsn7iZAw+U+Vj7fjdQNeN+WLiVShvjGXR1+u8IxPC
N/IItGmKLeeOHo0mD13O4TVMBrdlUxLWSAPdhP/DPiaipTgjp9zJrnS2D5DnpB3kzvS69CnL4wW4
x5pFuqtr+jCA83Rg5Waw10BfRtKwZb7mz4bGzcEvcayI+d+7NbQrfR18jkg4jpGT5lePFa8ZwvjI
S3smIZ1mJc++tHNXKAD9WX1JeJXPzbrSRqwyL60DkbP3BRNyB4yLq7pt9kBC8X2fbA4cxWzLZ6El
4zeaWVh+1RihOSG2W/VhYrq9GcQowGAOI1e/6DPW3xs6ATZI06kgunSDzTanzGJxVnrX+DIFYsC+
BH0Uzog9l9jUbgfSf0ppnBUDfSecBk60MxWXCN/EE3VfTYPIrq1lJgzXVZpKSbTHeygoKgDVc3ex
rV+N1SbfiPmuE16CM17UkpIodJE9mY9rXozXi6nV6TXVmX09N5pTnVlTNaWBZZXoaKgcQGuknGQX
lpMuAGDWmMmTWFb9Oi0jD9IaafxQcun6prgT0EUkaiwMVreJvuZu3Cz0S64Oyh+OjmwH1dtdNQ1l
yr4EU8+Dolm6kQZZo7uV41z/EIWw0iul29Y5/dXjD3sqrJ2mJ2N7C3QP5zXQ9riwKbX2b28q058L
3OqvAvT12WxspBNRg2dPYOQx1dvQUpqH6dSYdwNyD0RhcLA4JU2LgnKYzJwmCDzGsdWcuzcnq9kE
xwS0nJNkcLogy9OeTzE7TP3BbSrTr5LefPZQG70lhVTPxCS7o1/qlXqrsJqWYZZM4oF6Yn0espYf
77jlV8Kbu+dc1RpZz3MpM9qs0J0gFjM7ipYlblK6x+1q5e629oNPsHgL1IA9PDBX43SuL0dlvlly
ML8amjM+mIILqt+7U/9D1+KKeoRLUBNG0JoXJQ9ISReNxlVKSWoHRTr1NZoV3K+x8zQwuZ0aRBYs
/ZLs9V4k7445WwMm1QsJ02JLxA5NlDBpGPECZWBhjshajZgHQaobaX6NKWgGf96g0fK3PZkOGT6w
6XcER11XLnAnjFzePGMhVfzM1dTVYUa1fFcVVJ67ZYobaC3o3TL0sslUe5VBa7fKLttgcXKTJ4tq
LdutEQcM3Lirvje5lr9xIaBTOy3F+qTLRRt9V7Tzkxkv2aO+TMR+6HKGheP4qJsAvQbMdOEO9d00
RO1taerG167ipv8A7GSYQYvY6vuCtvU1rpfyS2/nlNgyyTJkYGlkPCfWUtNjv6TGrYDmTs7rKm7f
kqneRIfcQXJ/xqhtOBu1Khf+NHqcF2IZM+gkyMQn20bUkiUkpPhzWw2/piWKvttcQWPqDYP1aVAk
xCCQcl38xFUmcisvH+1AT3rrIXVQWjMPMJT2x1GXD8qY1UNJ5FgDXGlmbwjnuHgsw/RTGQ6HeNJv
M7fvzbQ+X5u8eqkhgZnEXqHSQAAGaD58QeL5AE3AT6udJzfJ0FRO0Jk6gR3xzP+0bxNzTIiBSADE
C00sxblZRoiF+lgND3EfIavINjW/b5pzsiA7G8UL9/HizrCAt3nbmbhruiG+RwqKJW4kK/NClwO4
b7fJklhkloXtY16PbugApD0DJDavpK/r1s7RCrDYqUvlLdLIyg6IkgOs4o5mw0Rn0lkC9lYEG5Rb
1cNCZ10aitbgIycD9HHItJdzECPMexGJ0ajQSBbtfBZQ7uzbsXpzGyt6sqhceE+2GN+lscLs0+ae
EuwirYXLuZiTZxmlVnSJ0ep8V7X4wOyZ/mxmKPA4H2uLhGNY16mNqdaNDoypbGyOh6XuroXJfuI7
Qzzk4VCY7eoLe4nuaOqYHifdHd4nczC7c4kTyFVVQL9TrdURVKRpvYHdzWx5Thef1wZ98+CvaX2m
zS1qHmWK5opH7ZEzOHqSBAQ5ocmxZyQtIlI4NGml/bsxk8LeiW6q3rYtgZsZPAfu3FQPF06kSswK
4UhfW3eWJTuPEVecSsIFkgGXuC06DAGRxNjR7eoU5PStgG/oD5K1nkIvquOGMshML1erArVuIgvK
xVIoPvatWPLb3Ks5MMu2nHWmT2dc5hY8E042Wl1wb7LzR21Q2Y+5Xp3vCbpvdJeJoX3r15aLkFXg
pWOqBIVNrGs0McajFlGK25PxjVmYXQ9S/6GivmgDo2qo8JyUmtxZXR2fx6rQzjO9QcOkVohNNums
TXaZS5nuT4Lbp59B0SEw8mb9AiFO4u7wr0PualfCeKsQwLFDGRy9WTVp50nfsiQA+737Xm+M+wbU
uQqj2ZhfW52Tkslnzu96RcCPj/DJvpp69F5+5dXp87xAkYFDzdaNrvqZGY6GMtmNiPk6HJ8akxu8
k8Nc2J3ULvlwHfqMXImn3FMx4rVNdFhbhCedTe2UsslG1WtnMZ1no69vKy1VxnlWNNq+Emowz9hQ
2zxwhnpITJQSwIAk/YAhFNNlXsF5yo09REfn+g4tstO58qwSjqFM7T7ohA7AS+IKfZu430NpT0bO
euIjRB3apcGyITsm9yafU8LKegNI/IY0PxCDSuW2Q9xPhwwXKAKEgrMiGXZT4xTGnkQZYOxsNLqX
OtPnX3PFuYPPFixzmA1L+4UgLFFco+dNrzJ2izJw5u0mBa/Mj0Aik8a+Q731gruouKItEuraWefs
zUzM+Re8HqN2eZ97IVhV4d51ZgkITG7hyh0AV1uY1sq1um80cTfWVWLV6VeEBsNAkTU1IzKZVKAT
UY5W5kHXoLo6j4HR+mv6g/ubCT35GLhAXOs5uYdNmtzBryr9CVXF+k6xNSF7V44Z9c9DnDt9v+sw
1nIuBPT9G97d84uKDTWewcO7dehxE0ZXMQo8H7lTA2jHzipePYzOMONybe82GXMvQQGWuBTUdf2l
h7pHTKWl2rtAElGFa5pb0Q5BiIcciutoGZo9uiDY7W0BmOOCBaFeuVMbuJ3obapqB3UZ7J73NNSt
+7COxqxBUK48Ji3X7Rnq2vlmnfoVyG1lZwghQ8bHGG30CCck8xYc082f0xpqKhzrusPLB+UfhWVe
LuDDvcWW08mci76LGEQiExuGAS2KSHJoBcG0gbPFnDFvVic6b8GTU6yHKGqDWtOhCaHdKnuPI3iD
4xIGae4etD7nbDJ06DgTtThOcB1BE0HVTTpElSHiLxSM87RL8EW9xCJGgqpolRBciHum76y0yQjb
rFwiP1/Y3uEOAXku8PrmAo3IxEHPtWbyzcr1nAblCnNMPFSnXIWlMZk/k7ViDxQp8TK+MEpwWS9D
9+uPbNaPXdEWXxEjGs2Om7x6nuKkTC4ExTZ8RtoYD06s45ulZMOMHOxqkDCFUt7MFDRvbTa5XzAB
9hAcEXsU7Qpv7bkNG/pw27mp/j2pdccKs0xpF6sV181d59Xdw0ywuoZew0WoXm/lfBkZeReY2ogS
jCpc0Npd2f23Kim422aYfbLJI9yMQtBw84HtAN5o4AiXO6MqhNi6XcZ7tql1CowsR9fYZGLYz+1/
54A5eJNfa/Vww9YIN4x2KHqh4aI4X/BLVSEiByhBpD3t62Jy0IYtIrf2ksQV7XesKtc40wS4XgA0
IDlKNDtbQjYX4e7kbHDlxCZq+FnGej9TROfxM86508OSdBMnTGPHb0mbrr9lBFuyzzsvf/c4pLud
zcKCfWgzt8VYJnPQgi6UmQEzHoKbVh7WDc0KFHtct/Mf4PLVW9046exLDN+fYW7BZeZ+WG7qevbe
cHRBwQNLbLUg/2uGTNkQ7s8iK9f3lPsUTyULdGxj6UxmkKWZNWwUnjUFWuoU31McW4n8kSv+ASbo
HExnurVu9JOHQLSq1xLBiabx8WOoust+XvTB1xwdOT0GVCJBWZTF3c5tPKTWnC1kJLmxuSKir9v2
lmQxbQkdzdaurbgiQiCVc1GfUTPm39qaXZkiDrnRqDds/Ygcyx9ITLN7vXIGtIWpXoodKvDofmB/
SgJKe8nVLK3HLzr68K8NfM2TZcMdmJyO12VdGI9ZYZjVQ5vNIwY6Xjot57o7qS990veYm66dgblP
UwzR2VIb2ePYGD1o07zQm7JoKwgjtQtWqKvu5u6Om5Gwd6lZc0VUfWt3oT6wanbxkCr2R2/uqovK
VPqIL/NM4hJ4qsX+YBkD/zmha+dHk66NCHBQq7FoyOSSvbs1YomzKEmn6GbiXoOIi5zyR4VW7pfJ
dYBPLbWZYKYYfD0yEyRkC6oXJA2DVrzPnYqeIqr7n1g9bdDqomaTjYAacEfHjfFK2wfqjpIuoNc2
VRzk3SC9s7aYc5hVGoHKc4Wm85H7SUNccab3SOYteoBmubYy6Iucwi7X9aJAVQIwEkYR3TDUkY5z
Dx5NtWnRCXCVdUjuwpT0SBfCYOR4QlBjPOtLm74rFzVvUBQOVa5laF0btJob3VeZibaonnOKXKjW
JN/XRml/EaWOeGeMnOi+F3JYg9aNxtknNQcFU+No9ZOeOt13pGar2Ctn6c4SAZAaunEbXTKlzGKX
dzTAAeAY1YN0B/eRuMT61TVaS+wnhAS/Rpmq9ymBbgJkyczbfhX5Y7/MvKeZ+fDWQK4r7ptze9HR
ZzXtJK7uQ8Dv0p7M1WvOlcgiBDGApz/7PI1flybOvpfDYnwtufT+HFtVptCxzDlfN0qx+DG6bMAk
C4MOcng9/VtRwM7IvIzAcMtphZB33OYMrX2rB9yR4prTEB6Okhlxvj8aeKLt4m5wbofMEooNvJAW
KGCWvXRNnj55Ue7dQyCCvcxRtIoN6lK179qCvhaVmlwCFva7N0oJLiA6ekt/qGl78Omqit7tBNBi
33ttZoYLqggPxdewXJqrXWKxoW3nTqa1RbozpwSAtkDbgVND6Tp32w3UYqsZ14u+7uMuiMYJlA+v
Jv26n1bza5yzt/mYWaYkDXFZ2btdQ5GDUXP3e6YN75qM50EPp06DOU9d+gt8U2eaBtbQxoU/rYt4
ofuQL68W7M/ddJVPhnLwhWlRYOp8Pwo30nJqnRacvPIehjxaLZ9re0IpEUnJMtF08XVOjfVrlE6j
RBq+Ic4kIYxvZtYbbbDOIDLBStpExGW1WqDeQI/uS76qQEjLBdtfDEfe0CvW3bpejPTYkSX1fmw6
wxrCGM2K/R+iXu8XSN9V5XO0RzJqxueF7L0HUSWYd3ge3P2VMc3wGhDjfRgNy9LTbEEFcKFnpif8
fiA3eaiwUwnjAQJ+xxW2yuhBzOr6QV8kAgHUYz3tNBHTCZpkGnetSpYm7DQlzcBdJfSi0sbxbTJm
Me/msZPZ3ku8nJWWeDb1F1LUFSFdHGehBBxMf6oYiGY3rkJOQVkP4BHKXXLEF16rp5d4jXnlzTyl
7r2V5kUbGtNa0KNVo7a7o/kHenukY4GX0RrlT5lXst8vyRqpcFGAV/s4oVwOJW+xC1e2diqODL6K
F1s0QoIP6dFj2jpUGC0xFwLJ50RpsrCEfxWVIjw9pQPksR4WjGxaLP9vsAkZXlDPmtCRdW/ftBYM
dGCsS4PI2G0yfBfNSKLBZT/jyq5nj4PMbIpmMFU0eTMC7bCgk+hnHTXL17qQ2Z2JPl3bpIOgyOCy
DtfTuvntRhNXQhBeUENwROqwzIK6GZxC+04dOA8BF5eKwnTq3DvZGK08i0x3/R6LWbvB4WDSrugk
M37OljQ2mKZAqEluUHwBRJysMKVadUebgSFR8xtjAuFOmEGAHIgV5ahMe0gIOMiD2tT4YJOmWU9j
30Ewt6MN0ZtrvXexiHiYz2a+95eVc12dm2AcF1mXwIQbE2iSdIE7kUZwdtboUG6pGThECq2vJ3/t
gTbO3LTtkF94SR0/laMH7YTAXkc5VeXug13WyGI5hOK7tkBT7E+85W9o1ae77fqHKEcr6AwTou7v
aZKMfuQNWHIwGYp7h6ncAsEI8SmvXrKwmOMmWRyUWgUgRplhorvD+c78UQC74QKrN8lTYlYD92HN
a1+xU7IL4Laq+BHLtkMPEeWAS54HII86vWqeZI0WgJ0WJYZp4W/spz0B5CGrePnuLfY6Ud0bqEJm
QFsLPQ7FJIpps3g0U7oaAvgo+91yO+eBk6k39nUUw3gzdbudNsQdhX/XGE2w7c7LXs+AfHaZGgC0
LXdFIpm45d2mRl3CRLXqhnqm6u3zGG572SW4M7Vnsm7FTT9xlp7ndW1cuCAluu9iJs/FvlaNvOtp
C/zZRdp6Z6duMfgzEovx3KxXN71ym7SSwPPx4Fyvg100z9wQxLPwgEUhgRoNdb6dUe8OcyNfi2oF
UZPU9dkPL84m4XMRQ6EYSVqmzpoWzfg3hyBSD8LFqyw2BgOQDJVtDASP/CddvqItncjT8Ghc2hsN
nTx+PS6kzn7eXX1o5EQ4ANaemPvRjaXzGg66mwv8fbwW2Q90sKl/J/g18se8Hc+cfFb3QhSYuYoo
5nMNY1jkozz7fPhD/7tteBszR4Lasam1D42VaFrtBkQrpU/jFRejAiHzeK6hETRwrW3uYCg8f7XM
+KpTBaLgzweXh235/42uaxqcI4kMAMkfW7sRF0dtV/LwcW2y00EXhlns6QE1ynNLCcrShnfu6Pza
FcNshVXmLmdVxc1bn2Nk2AtXfbQb3qnfpR+0nB/8LvPAi4F8MtuCUKz8POL433UyYlGXRBHucu49
acMT+YNtIeyAO+POR+fqLq/QwFBnAcO39vDy+Zs6dBb47wcRUIh9gS0J1DnwL2gVu/Jocjmuyhjg
lc65GFlHAS6Z97Vdh5+PdmhFsY2GMyETAvdSEikPHr+ZzYosd3QgiIHddzN1DMRxNEs5fqos9R5R
XJywMzg2DR3oADzF4GFZCx8nAvLIvs57WHiaAfV7G5EJBa9EiTto6gLtnHfWVDRr14Z9It7h74FN
POjIsGUGIlL0DpbfYgvaRJqGNsBKmzcT0+VmgT27Qh1hoNxuh7B12/bRs4r4H80iWHIfRj4w3HFr
Oh/R3UAz4vFHqxcQdNp8Lc1Ony5Ao6DUP/+of681xsOBxsK0ePu6BzYO/WLVMjVZayQgaZcxylYO
26Y+4bDz99RhFEIAiWqkH4Ncq48fkqFTw2tZOcYsh0trE765pbyEkp+/OKitT8ybv9eFiQWKsSV4
Qgca7sFMJRU18krBTO0GTrABkDgAe/xGa408//fXx0ZtamT0Yu17uFHOxCGYkJpsCd1IAc+BiaZS
axBYnpgXx94gl0UCzmGViNU8cEWhY6zrVMohFLV6e0F5RMsXXcppgI6U5ucOBPlEiPvREYlw12i0
x2LPOVgDkkt9W45sLk0i5h/RArbmDdkGXnZJfo/vpHvCs+3ogCYCkM3Lmq77zfHjD1+d2UE/myc8
4gBzj3Q96ddLnCxGmvxn6xaNxXj/7x8P+0dM5qVpWjB9HwdM0a5TtjDg2jot0urBQ+Kk2hNf7thk
9DQP7QClmGP+dZrVnRUv7vbl5OQ9zBWOCoGKY0fsxoJC5sR6PrRl2fYPMmKYjJzaDHYwT2pvLKh7
6TvuZFy+pVB7qENzhCtrc+321RZrLIbp+fMXeWS7ZOuQxpbIzTmkHSxv2xZKqrZmeXtNu6saWs36
BeTVKLN9W0QungSpda1pafr++cBHnpaBOYzI/sME+fBEjtCoq4FsKkD+SXuhMyiHeMij9I7JI98p
cdBlznQdRieW/bFxCd0yPEJlGP3wLeMfE2fVtuz1GDF0QOsrpHAsi8zbyWGr72VPw1IiR/7F5098
ZJHgbPu/Ix+86klP68Rt2dr6aHRfdfrMM8ohOZ2TvjbuY9rBTwx45ICgAtXJmjEkZ/Bh0Ew/ewOS
wgIaDzVsaOEauh+FcSph/cgicfjzTazR2bXxnv24FDva3R26Sxklb9RlO4xOgFjPQolvjie2mSPf
ztvS6ckkICqPR/o4VFto+jpbJXOGvr9QdMjKlNXRdJtCJD00SJRfcumdypY48oDe5vxOOpBFArM8
eECapUfPm1giKVMj1DqkSLS1RGexRofC51PkyBfz0Ht4ZGgQaoM36scHzGg4B0HiASP8f0JvQMM0
t9aplI6/R9nyFEgwcLegF8r0j6Nok0tGR0vKi8A84C6fc7R8STadKMSOjLLZ4/E3e+dmI/1xlJFe
lbKyPEhpB31oIysLpU7yr57KLokfFArEFnISGJhnfRxFacmkuE4QR4lgpLzr8NKpw7oTQ3Ji3/h7
Flj4qlqagRU2qQaHj1POOd05tOMjpR4QJQfpqtriBc240yo6y5ZZP3UeHHmBHAQSd3yNMw5x+cdH
g8sy48oik2Kd8VxNS70LkEeesB3+e1OytiJZ0o/H7YCZ93EQnbplVhVAqq5Z+eU0ZGRRxAX8atbg
f7z1czfL679OcnyGCX9EEE889183VLLmSfUoqJMNo+EqlrjNvlmUCj8f5ciDOa5NBaRxmNr64T1g
xpk27vKWq7/XQlYWiXNdglmEERUeXbHxqbCfI1+L8ewtQlInR+RwIta2Hk35FrwjkJ/56DfkvqeA
2X3+VMdGYXfQOUhszbYPI4MVZ8Zcl9xuktYBMwNxi+mO0DFOOvt8oL+3WjzaCH0xySnxaJTffsgf
FV0y65U3kxvtR0a1nlkolr4XArbuWuhcWO8jOlqlX7cJqObnAx95QgyHwPosgy0XRdDHgb3epoGf
jgp/LLTo3lV0c/VZvpywMv677AFdM+ndI1vHlTzkx1EiO8E+K4tK3yCZDxk6ljO0BM1fKM7b60YU
oAGZ48F99UN54s0emZhUkxggWkSvcBU/eLNTqqVtS96KX9tm/EJ/k/Wyjp7Z74saTxLfztFO7f/9
nbJ54ZPIoaKz+X98WtIzMffCxtCfkkHcZpaJhXnTzPefj3Jkh0TkgKegTlOXx0r4OErdKPwCXIRm
XuFWZ/RORsPmB+DAKRZFaZ1YCce+oI3bGm6TnuZiRfdxtNEgWAstLLdfV6VnmW2i3ytSgbl+5GQ3
VRcvNxbQ4JlBCf/0+YMem6IOdpBklriS4JTtC/+xNpwUVDy2LToMEE/dS3yldjUujcHnoxybJwRZ
UZlzxhlUyR9HwVeqMXTBpyrt3PF7BBLfDVVZEAdmCz1n9ycOuKNPxfUN914c9B3r4KlWLFtq2hBZ
8WbdpCGd9I2NrAwjrhMr/OiDgSVsRQ7/PLwP436F9BQXCFxiIvoUyBeGiulrTxXneWlp/eNKd9Ep
BPDIoFvUCrcrXqbE4ubj21x1pNDNSi/PQu4b7BdtYgta+xrvnLgsw88/3V9ZKHwxYlBsnbJRk3y/
g8mpSi+JbSgI32MRlLt0GrSbWeEZ5qVDdR65UEQybXt4XThvtLnQUH68OBB/Ja54JybSkQ+77eCu
Zxs2lhmHDr/JjC6TxKcaZU0X7wjHRcAX66cuG8ef+Y9htp/xx6rI7KGYtIhEm2hdle1342anRfyj
aQWl4Q13VpmIC22GR3OLNgubArchMS0uSTuZdiJ76tjXNklU0Lj96JTtB1VhjX1c5Jg8Mj1jmJmi
Vf1ldG2OIEyLL6deqhNT+tgrBvDW2PrISvnrUmnaKyEReC/6jmW0OK3RM+Qs5XziqY5ssFRN/PnY
3RqbgerHN4wu2CzUyO0A07z2Ncpi+MJWj98I0z51Ph59IG5a1IacwXiVfxxqyui0XCWncEcweBh1
6AEhZ5ITp/DRUWgjYRugP4IP9nEUOpmiRicKlejfOHX3GBOZY8j9ip7nzxfksTfHzY25D9hOJMrB
fOgosF3aWBlIDNpeoEUPnXpyHhp6hL/8X4Yii8HDWNfBoufjM5W96gdP8JEaNTR3bjQkMJkuIl60
RHP29f8wGEgRdx+Ny4l98JkwsEmofSkHJ8iN/TgOhFmiDw+noSj3nw917FtRt3AcYbrs4rzz8blQ
MJl2X4JeMDPLB8wr3FvbnU7ldB5buJggs2I5hDTjMIq3KiZ7SVfmXdWjmvRHlKIXbI7zcwIqtW9G
+ns+f6xjMwOAD4EiuZFMxe2x/9i1jIE28dKGLsNBqwqylYa4LiP4q9SIoP58qL+fjRsWpSZoiQN+
YR2+QRJXix5F9dY/jaQnah9qt7vEg84+17p0OvFgR0ZzJcMZIF3c8b3D0UZDkCAOjW7Nwr6MS088
ZR49GCBb6z2mfNGJ6u/v+YFDtSQHiFOdLfcQuE81G7m+qGljh0t/bbYmiNLQ58fP3+HRUaAFWMab
q7N7cLAKMdlqxY8JPRueq+YUd7cIOPMTJ+aRd7dVJpAr4PaUeQdrGOScfigXVX01LdO9lNEmjaDP
99IsZ/ub3kbF739+rC0hUYOGMCzcsQ8GNOyiS+OEAh1PMUrnUv+ZVs4/5k6brN5tryW2ACqHEuhg
s9AF9hLVOnHnqQ18c3vcYkCUzSpAckFLmsY3O/Ee//5a7OsWkZp4alHwye09/7G42qmh52byUPMV
7XjtrFl0o42zMf/z7k5DhUbcBEOwux/W426JrgehR44XxlDvyrz8tW6Sss7OTmVr/fVAtgGMqjsw
RlL3qO8+PhDevp0YNVoPZbukr2Utml0+JKcw+WOjsGgh7zmWqCq2//7Hayuo+rcGWzRCXYEiJe2M
5NpMrfLE6bvtAH/asGMODiWs6aB0BpP8kLRBbYqk3GGYLp+N1s8rF4+deZlz42YaGzSBWe+hyaMB
nz0GC8323yk4jhMiw6DA2RSZIAd7FDblyAE28I5GMDf0jPlXhcT4/B/X1jYIkgQocGoMunk+vs0M
YF3ZCYNg7RRd0f+CRkbE0YnAzm3j+fAyQVO33BPwOjZbxBcfR+nSqu+G3v4+0nvc1OLBTs9LzdnX
UvfJt6eMopmsnbITM/8vlGYblYYmIGPADBJDP46KMhEXYGV/V+Oll7jX5bTT6ygo7Cxc15fPX+Ph
UODS3HS5Z2+qDjKgDmq1FL+K1fMWuo1tFd/iohIF41xOVwLr9p1bRkjTOLPDzwfdvs2fb/W/QT2X
mldnPXCSfXw+iOcYA2AGTWhymhFsiA0OxTcpoJP8lEjicNkdDnaw7OJFOi42dbSFkp91nVQ0sq6T
Uez++ZE2oJpeN8BPKt+DLaSra7LWrE3bmERI6GkXfHAlwrpEDdGJBX7kgT4MdfD2LDuKnLVlKHoe
ZxolyugM05Z/LQx5bWgPyBrnJr+h1AdQ2jjKBHU/ro+gy9bZDHIOq7U6+89f29/PwpFFpwVMzIYw
WQfTjwsJLgCKyyMWoJGPU9arlsvX/98YB5+Gzok1s2yaLKO0abiP98kOKeWpM+TvOQ0EgeUrebfw
FbZ+sB+pQgx6vGLRVveT/VMqfCIKGn83vwrHPrE//MdNfVxA22AcVFtxwd50MAVmvBfMZYIhgy7H
nYbKVNAE7vTXnSjbW6S89X6wx/EcU1k9UGmmX+C+W/zjDsx2yLG8Xcc1Fx877eBHlC3O7WXivHgp
XQYt9o2BsvNTNdtfE2QbBHkF7KAOq3AYfF9iJ4M9cfyaL23p7YzWsC6ryly8E+jtfzj+H28UsQ1/
bcAtQg6yPN2DiYixzATJJBDejigZkfrJa2zWxltrjC0WsRhog1IWXYs0O805wSJ0Eo/xhYWxScBv
OzWbDh570/6w7GjO4VJGxeodlFhd5VZz06jZX9EfX3cqxwapN4YTyMPRUSjribeF3vAOQXkjctK8
opr/H+bOK7luJV2zU6k47zgX3nTcqgcA29CKTqTEFwRFUfA2ASSA6fRQemK9wHOqStxUk617S9X9
ogjFJpkbiTS//ZZvl/S3C+Y6HApF+7nz6vlZyDet+YY1hXJ4kiw1FAi9SjgVE+AiHU3fp4a6vJeX
PNh/z6PgKlMzQl0HxJ2D1Zi6lY4qH+oTdEAUvjDz4mRCIWGb0jr3jlHwbFu8XCx4YDwM72hFJtoH
Z6NpoqbvzMxbknU3A71DqHEZuyXK96gg7626ux9SeT9oQHjM6Lqyhk8Tie0Zs7Lt8yOk7t8LhKxm
yMEXwuJzDOrFcG44SV9eqDRs0PTrorqvap1nPJVIyubHlSB5eiFbgFDbPF1K/QqZufRxSRG4fqcy
6QcLiawV71YnuQ226eDwa7VZT+Z19yS9rRzlvKVTjODh+u2D/Aev+MUoB5si6hZ9QLd09KlqQ3zY
ruuQcucmbJOsCN8e6scP5HlEGrmgsABfTmhH12xUFazZYYmTre5NyrbRka/6+VE4yCHC2yo5D+PA
zvMANxSoubGO6iy7p+lanCujYl+9Pco6LYeLwyHlsCb+uKEOK+Ko44ibsaRpO0+1bNegnYzUmFqQ
c9CHpjk2xmz8+PaIP1qORA1USrm4FvAFXs4eDduVJksaFg2CfmeTZskHCAvKEQ3k1kWJPh0ibLZ9
YdM6E7w98uv3RuE9fhz7XzeoJDnYmYokgaN0GUogrtmeZXlV7xNPvJdTef18ZKYMskRkqFRcufVb
fOfJJWo72mpTzj7NfleqbT2MpnsTLfbxiBYM6q/93jG7nyuS4XxjTGvNrVPZ4ZK+fTkm/UsSd76a
/bZzyvgxRXByDBrNSO0AsdomCfWB7M9eVOjkvPM6Xy8gcqm4kixV3EmstZdDU4qTeF7O0K5NEbUx
RdmmbpJ2AyiJZom+ey+isb6klwt2Hc8kxYJzRwnSQTRo1pbIjHWUdYREREGfyuyuiONoSxV5Rsuk
0+xRNfb2b6+c14cLxxZZR0LwsJwM/WAvJgstVcuq1Ig0khLkaq2EuSm8bYNS108fLgxFbRWtpfg+
FJ28nE8EiaRTKqjtlIY95mFZFGN7VPWrcsjbz/RqN6wVLdoKZiO0yx1/sGaUiV5s16J3w5rQAlE6
NLKaHN7a26O8mrm13p0h1mgkSWj34Fg2Cvr4XBAFAX2cTaiZ+VPmaH1YtsX4zkivFuLzSPjDGESU
pFrGy4nzIuqYFxSz6GJDqnaDIYfsdGEn1lf611yU25rM3L79cK+m8LmY3+LJXKqEiGG/HDJZ5kRF
Vgk90rkdjtA+KQO6iqrwZ0chUkKWnUQmS+9VLg9l0jFzWrqevVxYmzYZ6QqN7OUdI/dwX2GsUGHi
IH0B3QXhyoMlTk+XBjeKypIhilTgRShw2tgtoPI4qT3PuFJ05x3b79WQhHRxUtbib6oIMRBeTl+h
OcZkCBpEUtFp4YQGuhV4da9caKgzffDcftW8m/vN29N5eD5rOGEqRsbzbuZ4Plj3U1GhVlABkzIv
o11L0/ctRbbH0TujaAfBIU6Ll8McLPzeNRovyRhmDLEAfQp7N3eL//jxPPEvRPiA8eAj9PfOHnhl
fB6Ouk75d5fPrFd5IVJGJeK7TfdaeFMGi/8U+Y2v+vVW95N3nvO92Vw//25AmuKzQlnRXMsWKkeA
ZF9QBc07O+CVA3b4WAeHvgdIkeXJKDL4woz6j5V//C24vn17ZRymsw/f2WG0HIt+sNuCYZrw/rYK
Qa74X48vHt4e5Z2FcWj/FJMcRjVnkH6b+kMgN/XOONPD917Muoy/vycPpuwwHW4qgGMSsk6+ViHE
PEaUrtfdcDzmzvCOofpsN7011ME+LkUlHFQ+hd9uELoKiKUE4IACN7TDh91nEX5EEui/uSKsg6PX
SDvNzNZXddZuvuTBzZO1e7i9Nt55tB+cUN+fFYdJIdfJhFuto7jWpyHap4j2Nitxs8rRx3gvD/rs
hb41jwdHhoHSh16sm3cOvixbdQdKayO2yXl6FPnF7t3X9t5CPDgrMlfRLUS31hMKHYMP8AlCZwv7
LPiYhmn4jRZzHxkh/9u7A6/P8dZzHpwZMi7R0G8Z2LjWj8Vtfd4eG1+iC8Jh3ew3D/NNdZx+MC6s
m7c33mFg7NX2PjhFcpN+U1ox/3jgMuCy9tFGDZCxe291rpflG094mKMnVFmY3TqSsjcDGdD74z86
Z87xe77Ge1vvsJoi7qfUrteBDN4i0gmsmHEP/iuIfCdoNtUmDt3ADd6rwH5vqdr6y2Of7oNi1tal
2m4ojw/QS/FvEQT+AHb6IxrDR2+/uWfj4635PDhhJlskdMYznL6jLI7LVNlo54ijhZDCAmtDyYp/
0vnHgGb8+e7tsX9495BipBlg7bmjyOvlo6IRMxeWZOw+lBv7ttgmW7mdw3wrjvT9e6G9H5oN3412
uHJE7paVuh7bkJI3GhvTCD3uCTPwTsoA6OCluECDe9ftzFPvnVn+0WFH7sDAb6VajojqywfNELvO
5q4RfoeCvKrRK4vclTk/DVUXZss73sfh9YQxTmCRMiPqPchGqgdnnd2nepQU5hIoRm9s0VtCmVnr
Ujht8/LObly/9/eLh6Go3KR0gNJrl3D3weIpXN2e9BH6VkR/+0ntVRVlt0bxk1fFOopJ1RTeAJFo
MnMvZ88Ebg1TEvmknt7eDwhXOsfdWIhAnfXyQ9aU5Ue6LbWLtxfnD2aRYuG1ZBuTnVj4+vl31leN
xEInGniPQCubDdqu3PRmX14ieV+8szqeE/cH04gPp5EPZDANF+vlWBB9usVzlDlwqrHyAlQzxEfE
5NBk6qzayG8KbewRjS0dtG8JHQvFR2uxvCiyObq1+qqvkR4Yx/GoLW39kvqUFk5Rlzau36iwl96e
l0OrlPQqa5gmQY+GeBpEDlaXgsBSCsh9CkAi5AgDG7oPPKL8TBQb+QDZjO7x3Ogc/uk4bd4e+vUr
MZggiss81ja1oAeXG8qripzprwi63r1vKb342CMc9AG1zPdqPH8wkk5G0bYpGMDrPYy8xGJF1Hn6
ghTeqgSS0J8U1nOG0if5n6e3n+r1HiI+qHsUtxEiZAUcHIKxo05ljQxV4CBYs+m7CSBTG7/jD766
oHltz7675rprqeOr24xciZEtwxhEShL5EwRQPytjwy/iuTxOh6XeOEVUbHQ1M8+InRRPVjlr75wW
h8bJ83egasbm0CCWZh4snXkZZVy3rGQX7WV7E9eRcm3mKhV9Xo9izRFywwiu/PTsrn36VFCR2Vmr
pF9urWn2EjvLgcOrKH8GrSLSvSdU/Z0n+8E79ChNXiPxVL1RqfhylFiOJFrmbESMBf4mekWoAgO/
fmeU1/NHgIwH0YhfEUY4zDbks5E7PWUdQSqb6qwwhRamChoxEuXPsBymaPv23L1y2pgyHshd88NU
XtKH8PKxTJg7Ve84MG+1cQRRpLBaMCKRuE7CSYCFRjXeGqdsCxB5fOgQNXyMhRe7oUZpwbLNGsN+
TxLj9Uyv9RmUTKyd2JgN6+ffHcv6rIoCni0a80saH2e1shxFcF2Ct5/89SHHM6M2wkRT9AdG5uUo
9A6TM5tdEcCYrUJVRTmnQBhor7qWQnWGJVGancR4FCnizyKv/3ic/kf8VF/8ceyLv/0n/3+skYla
C9EO/vu3D81Tdd13T0/92UPzn+uv/uNHX/7i387Sx64W9bf+8Kde/BJ//8/xw4f+4cV/NlWf9vPl
8NTNV09iKPrnAfim60/+3374l6fnv3IzN09//e3ha8mcpKLv0sf+tz8/Ovr6199o8eBi+4/vB/jz
0/OHkl/0H5IUh/+Pv/XPX3h6EP1ffyNb8jv5fTIMdKpiBtD7/9tf5NPzR6b9O7IYJoVxa7qF2wGT
uaq7PuHX3N9pfCKCSMpg7dx/boAS9fD8meb+jklGtIpti+K/yoXy9y/34j398739hSz0RZ3CO/vr
b6+s2YNU9qG0w//rVPbBGv5FqWym/vv9+ItS2Qc3xy9KZR88yy9NZR880a9PZb+yEHDBXuSyD9bL
j3PZ6LQOYuNmSF/SOn2Q0e7iQak31UiN+09aeut3+T6vfWAQ/+szzpwAf6bQDy6U/2IKff0r31v4
fzzQP/PaB5P7a/La+oEp+Yvy2gdL99+Q1z4w4qp/X1778Fl/TV57dUe+M2r+JXntdS28XJEv89oH
T/bPvLYHdhyZf23oxVlmaxHCDL8wx31w5v7yHPeBD/lvyXE/R6a+f7//jRz3epAcvNYXOe7DpfSP
HHdV0OcNXW5q4pU7kJE68NKq3GrZotn7CZTDT6ptoHjwMut9sKL+i1nvwwc8TKYe+CT/imTqH1XE
38/qOiiBoLXXmzovOj9eblBtnMvZNApUkaSWFcek3TtUpzp017SnctBred5jZgPo1d2GJv8Wdmt0
REt84d1k0VyWZyITmXZFO0quhrE7evU+c2XSX8MLhxkwzRBRwjmm5fFzr5ew0/w8GYwIoWWnlSe1
PkWIVRSDI+8r8F46KJTBzJeL2UF0ug/qLl3aJ0V4swBcrovGOyPXm9M0SquDdpzHvQFhwR5pEPtQ
FJP3TQOlXhp+NGWtfjKaXtWe6c4g7TPq+stmM5QmS8dCT1gEqODmzd4ZWm3a5a2Vt8e91lveJut1
RQ/suGVSKlr9kQfudNlfxJnSzp+bxFsY2EvNfoM0XDSfmlU3xNcGCIGUhvYZHRN9aBV0y90knTdW
DEEsAEslHywvUmRAVnuBogCn/HOZTpBCK5mY88bli8COLZZJ3SA64dhh6cZR1dE63iy3g06tju8M
Y5L7XuooKxsaQev9kgP4tjq4BTtdCjg8g+mlXzz4gzGS2HP7oaZLGBlF2TqngGvR+u3o1YA9I/TO
PSkGRb/XgAugRKpayPHMzZJEVwgs5v0XTCCRqGE2TIm80uo899pNOxcDdL2qNef5c2WWdpJsqdWN
mm+tOiRHJOan4VzK0UJMGYb857FroNjUtVveSzC+X/PEq0EsolMKLIlVAvuok8OjXEB3oNO9VLkf
I/hsnsBrTyDFF6Z1PlmuAI1gJO6lQu8szO64MZuzJIpK5tublW2VGbFLBZ+EY9vQm1Qg2kunUlBW
CmwUUaFfk1DJ1AZ9qQwPkCW9awKvWgEJ1YwIHlullQRCQvFD5rOAEFXLYrmkkrbMdrC6aCTwoix6
RNXcpDekjZwhhC8a3WdtbyzHhYj6j8uSGDIcujTXwmhslFtJMPO66M2U91Waxl3DKlz56akWAxp0
UMOPor5e5YnzWyRHh2S7wJWyAiq+U3maz7M8V0uqk4AtjM7OmntoDmgTFx8pTRmLoHeU5DyyOg/o
DO4+0nSZ46gbUdkdRXlA6+oNeKel2Bkynq9Rj9XiQG/i/gYlOaqEwGFPEYyhbrmDMlM/1aOAMEG9
mF1vJpMeVBooLOMWMFCvIl6ulkfoF1vQApAwaIPMW7yzpu2MMrAbFjUi51NFCQiK+cfL2Mxo06tI
DvsEsvMh1FzHA49kqXEH6GtiNS7TILp9DSYXZf6mtqrAMFNt9lHY8r664D6TcEgMjUSUSauZr61C
F0CoZhOWc954GyU18hQF9rZGCKy0hjEkwNx+NpTWA1jeFd1GKTuAAFIYWgdDo4FhhcajHfmUVpcf
Rbqgl0wgVCVtyQHRhXjZcxJ6dhwLNhDi+RRlp9KEC+NKCaBc0uqhJtKiHEMBsRyYwijrM00Zplug
gNUHjjVollR0I83bOM944qXsDQTvIxQ7G7fyumCmQ/VrDMY1GKwIMXPJ10qOm6wRtyWLR9spYmad
p9q4yM2gZ+V+ruWA3lKRQ2uEP4NOq+vCXKEKkaBQCUxl1TQ3qjaM04YlbldzpAXaTMN+wBmVlJcz
gmy9rwltzEIJFH7atU5ix35S2SN8ZjmgiZE4kOV82+iktpmMwXqorSlNjlRavOBKkiS4bUdolpQl
jnofJgTLzgpPKtE2zmqKixpnKW/7vFTu9L7KpR/NURGHExrRBAxVDwI1GGHozmJMFttH1r25QP3G
jENrUPOvkJSLewVtt9M5An5IDHOMVZ9DpXaD2qqnG4kQ/ZMchXsmBdjscGZOwpIgFYK86DR8VkUK
DnmkCHTaVGVln7sDst8BCHhgMZQXAJkRY999YjbQ0XVSiCBBIVW3CeusAdW0qnO1K+ZvsFjxkeoF
lcll4SdLiSKzO89jH1Q6pT9QSzOoQooSWfHei9yBvw4OcldZIo7Pvawvz83WzoaAdoPaoG2ss64S
G5ArcswVbY1Qb5tuB0x4TvZqpPbNaasv3Sfbao1iO5TpTBC+KNGMElMbfx28SSeXF1cAGF2RgccR
AOXTneZ0mgYCZrIgUGhqNIYxp+gN6vOp3Fq0XCV+Woz911WgGZHrabQ+gIdM4JRySBThoBZKGtJu
wBQJOfJna7VP7qRWD16gxwO9zUTYm8G3JcmRIO+N7FrTs/xJmzJXD+qBl+0PvaTsijZk4KZpU5Ko
NpzZDM2Zo3MPe6C6SOve+siSr83AJIab+21T9tGGbdfd6aRY+pAmfkhqs+Y2pFVslw9jVSb3STZb
T5OjKQ1t6X22sBe7RAtL4O/zyQhK2tr0TafHfh/pZnEMdg1xWm7J6pPe2WhEZEWsu/vFA7IU1JXo
l5tZwMPhLCpRY7RTKECRsnhfUZY1HmlgU6jQoPQ0RzjfVdcuUM84h4GQgizThfplgnJxybJ3rE1k
SdHu7UlyCkMVm+t9p0JihywAi8DXyyG56pZyRizHapEw06mNv+mQ63qiA2T5BiKDHbTEItF2nT7T
vJsgzh2DZR/EpcnVpwTolulzENe2re8BpOpPTTR75lYHOqAFEazZwgcTG3+lonDlMxUDbLGhjIrt
aFROFggUrNGP1yb7Yw/LFY4hzTOkYvnGOeLqAvYA0trop+u9uh+xm+uQq889l8CMtaOYd5JtLaGr
Oxug9c5M4EpukZOdHo20tQ2QwgAjaFZ0TSWkQIjmIzqwOM4BnHQgBXXDBmVpOhP3QZRMXEaF4p4L
04mQu7Fm6jIqwuvcnFJ2gTuYcXucmiXI9kHtKnA7RYVsjZ16vE21isix5guiM4HwRta8NY4N1HhK
7xBKGKs03rSqqkScAi1UjySPyuZDSVsG6vpIlcvQUEXePthcThOsatNOQ0udRnLhaqyV267TPGRU
qqL6Mil6ThRcGJZyrKI+qrE/kFdx/RLZj/5u6WZmJkJxeiftZHhopTPfUFUJDLiTiJJBKRq8+Kxd
kkruaP5z4pPWmiJzM1tVbB+r9EV87RvdTKDsLSqq7w6dNwa8wWBUIlMNMksTOsrfdmn5NEPJjYDT
5kK4cpqTAQbeN6+mbHivCVmloV1mZYURKShZLq18+VQ3hnE6oVR9AfumJWTfTF2+VzOrsEIglF4d
Spk3G6jm0RxWRvkMsZUm3CHh6Sd90qcnYBW7k3QqObWdwnWaHVexhqkY9e4HStFloHtC38sKXkI4
GZX+Me0AO/oZstefMrORl7XNueXP6qg+LkLQAw983H1YtDnBlBC5cevOhLJD0U+jDInPNdxFsFsv
jQHaqi8c6ZwAm01uRIWhDKx96U5oQUwyX0F+Z0NGLQfATjPz5JuV0ulBxOV1NMKDvU5H23mKeqW/
SsbCuVyWSLvuaIwLeimhBNgwM3g/5Hc+AQMyjqtR658o+4KBBoQRFltBCudcoXPZ9PXOQrG4Nqvk
pk288TaJsgrqz6L121X6Cz5jPEY2p0dsn/EM6f0wT+adMylAb1pVLvrO1oUy72bPra/nVqZumDVN
i+wZMBffZkWy5HNAcmJpXGXDVT2coDZv3YOc8Z5ooagfdLt1rQ8a359DEjpLEXaJLY7Stsnl8VRO
/eXI+VYFUdIk91Y0iQbMpJ5ewamFcaOWKTe9pcw3pqvGfJTNIIjSpgaKA5eBvG6KpRGfS10dqSzK
yOUhCadaS9DD0KXAU9PywlclvkiolIq88cxuOicZjSAE4Ew8GLPycEMwwpxLkc60b9J5pDYQRoYR
sm6kGa6f2U4/bwD+woeLohHQZQ20gnPOayOdn1faL2khSe73/OTDChs9EcB9n7JxnJHhJ7W4AgMX
Tw2tKnGdAFRUnvmQ3Lrrmpuv4LwxxNeynou7QRG4FDaJSv5E35o7vB5lCMAm6Fe9hahYUA4S1muV
UxIfKJmHTtVAb/BVmo4UjhhO1nyIxaiaQHLqBD5OP2b1JqYAoQncqMZgSkFpij3sg+kahff8CkLF
9NQK3T0zSlANG6dvx9uySYcoUJOqvBpQbWYMWO74q7nuwClVXPfYIdRU+apCWwNIr2ZtTa44XJXB
nMtgGFNsHA0D81FRwAuf0gJe3PVt6ehcqKL8ohULsr5l1zkPBvXigKSMmDcKls34vKiayHb52HVu
WCyGRxfFYOHDKarVgnVqJkuEfdMaNKtY2a2IDQ7BNJobZ68kqey3rO7qfLTk0B4hsOeYYZl6825y
oRn5AMK664LdfIyB5hkbRbf5uh1XfxxKay6uZ7tgXhsxjFex6/bpdoKdbgVNmtpnuKvJY2d34m4U
q9bMyjFUw9JsG7gYkT5yuyoFi1xLxy70YqW4n718wWhJncyFFV5mX4uxsrUgtpwiw0TvnAzCduGl
m9Is4um4y5AA26RxXT+2nWUCD6QcPN6XtsHjt3E0XubtDGc411YDVKX98j5nO6YbpCTnL/zl5cHI
ig4Ub7KQ4ZVgeGSQNYoodk6d5TXi18A+P6SKhifKZdn2/lgOwBqT0k5vGhfXMwQR0z1CGwcdqvQz
Jltm4fdiIpSpsbWoPqDSK49HJ1jU3jmmsl+Op/bUEnxMyq7CIKWiUNtnirNSQEwve1D6yfmq5CV6
AGOh5pd2q9o4e1NlfHaFrrj7FvDfGIglGXM0WuzomMZV24OvXQKfqdyaf5VClvlxnMDuDZtmcO3N
pEzxx1g008mMkhZrO4Eg0W1dIzNBZlvxwLeBhjSz7ftMjBNxhqyJ95PI3M9OGrl3ued2n4yuLq60
oV3yYCwb3KN8SHsA02WZyCBJvfar1CVGYNoVfREA1LPdoJqx+H1DhV0HRaAyqGhyJ4IuU4ePV6PY
i/U9dfMJAQspNvnijVegtpQrKiXMye+EwNtKhNd8smcqUiwF2xPfSup3RoKwTDABsb8AOWt1m7ia
BbEMNx6tTWFq9VO1pOY3wBIEiPpx8aC72PP4Idc0SYkxztgSWsuinPcAU8GAGeaw03GtwJDqLYTX
mEhOtWX7ZNxarVAq0MVwCYN6Usx4Z3uLSs+GiFJQIlJP0BJW9PiOMqtYDRdaSO0ABF4/b0Edo202
zpq3bO0hacHwxXpqBYhbxDUvQAeXlQvXlGdpOiVPsnf0z3Mn9GzTpGP2xWqsJMMPMZI6rMwkFX5i
Rw+KkecfZcTb6CZ8IX/W6lgLxlEGprVs43aUBTQyKYnRqLHXHdlx1y44nVMy7OshGU+0qkbpBM+p
e3RqJXowLKrz2Mo6ZEajs+8Xxe3Qehk777NRY/wQbIK46YN4jb6p9J3egdvFtO1TIzqHcYMUV4FM
G/d26WqhRxwLax9Oxz0s8lQL6TjrzuaODbYGdPDzXUutbkuvkJ8npYYmYooeRGAkqxEJ7apfjpqk
Lh9g1PcXuTkR1kgIWMIti3Tj3I3SvIXwNBnRdmyqvqETHWooh20WF+HMLXxq9uMQVwCUaRfOtrKE
fP6cr/+p2oX/Y0XCiyqGNysc/n+sXVhlON8qXrj+X/+z/svFw1DULyoY/vi1P0sYTPP3ZzoJ8WWD
Kjpe7z9KGCzjdw3VEXAiCBfRvrkCPv5ewqB5vyNKgigMSsmrUrdB9PnvJQy69TtVlyiuUo5nUR9B
ZPonShgoE32ZPjDph0UuiUoIeBH0Ex8KHIymkdtD6iVhRYUhhrYN6WojQc0/5fPgfuylkd8DpREy
sLIasU6xYBfFhiamwHEz+UhAZDBPvDHGa4gIGZxVjkju8yYjMj3qXnTmxoQMcfAaUcOaNMf2GvWr
wQXyMctPKXyRy7RcPNCsaV/KrduW6MtDOnZi5SIvc+5eVLeMe8u28g/0EJvNFhigKj91aBNoegBY
TRu+yKJQT1TZDydKOTSZv+Br3GXeMJ2PpWVscYy0OeQxIwKVytwjqzgQ8vLdqR7u005PVAKM3vhZ
zdSUSAi0RtePZTtd2JRYgXGVK8W+SjNCnrJy5l3b9cMnr+u95lwSTQasrWryPqtaxHzzOe7M09Jr
MbCWeBp7f3Cd+ZM9TrLHwk4ix697YqG+ihI7JhBEwSqIE1ojwAGXxhMBkfnUrTNEHjQniyyf1Dg0
v5Hisn5TLfWKdRYZYGR9SohbI5WTNwFyPIK4AF3bp2keI5UJXAFwZTtpih/ZuofotrpC61SAjY9V
7g3XvcjSb/0wyOM+tbO7nJZpGWiN3StYsKp5jlZid0ZDrrgUVszNM1g6DtLQpiJcIiKFfuT2uQf2
faxPo7VyFfhOZp/HldEVeNy690T5Tk88DwPI9V0HLalwbhAMDiav9G6kMcfeDnFJ72IWxZqwEoWL
xaN7wFzTUq1WdsOiNNvFnbVHtcmcK5ZLPUC7w2jvRMU0Nvm8cHN3kGJ9KHBagSey1sqVmIAJIXAX
/FpsoAK7cYnI3OewkSK/B4O17UiUtvC8vepRG7o62nl5Uj+y18ovo9cDSm0UvR99wvnFbdpGtep7
tQ4+VNMgnY49VKy8X4qzhnoxQo52Gt3ibmfwTKuJtTspXXmxwCmwQ0g61FKUbVJsJ1dCKyfmn8IV
SzMeUC0nkyvPXaYbR4vt1E8RIF19EVX91C3p6BfkNcjHmD2SMxn0GH8wWl4/jOPFpQRXa8q9pSzu
tLYUUn8btzlmehYBygnMWO1uhD7Al2uxNoPYSSv61pxJ5ZbuLYPqyGz182DGE9iPF5M+yNrmpg9c
ZXIvZwiGxIKVSDmV9hopA3uS36SDkg3Y2opSbuLYEnC0KTFVwzxepiuQge6NArLkGyKUDQWnQ26d
5roh07Dq0gm7sZcO+Zm2th+5s/KEQJ507t2uImCEOTR1kHG95jrG4rzVlConvzSpvYZUjZpG5FuW
6g7it0i2hPv7LFRZuwlgqcwhIO2RCttE0zyfxr2HFw0fTX4cFTMjM7d0WKdCW8x+l+KtLf5CdyjL
FZ8lRlIy69kirrng5ulq4QUNWLhjplYNa1PGZyrg6g8DrbZXkbZzrXOzHqwprEVkXPW2kxThgm65
gwdvNTW5Fm7ZSqK2OGIQQkDFg1s4cSLT3PSaJe4dALHOsQNs7jJmL321ZQFLNcnSWUX5FI7jtopj
iHh6FWvfGiANfYi+l0LEH7li8M5r5qNs+/ZiTG2LcDxiI4lP+WRzpHS1JGKST7nYxmMx3QgZZ2Xg
upHzSU2lilvYeIAYOyP2PlcLXGToniAON0KVWBE5gc+bmEMRkKsHTNiPCVljjiTuYvhqBuHVj/O2
uJK5QA6JlWyNW8U1ksvWNeZjiSoGIr1Id1abxlwg3helXZ5GNXjno6igFdCXWY9BSU+sd84x2hIA
LzXtJgG4BzmISFeyqbXeuAZ9jrPudbMDhtorMl+vs/kq9uzyabIbzjEt6ZRd30fLxkXw6TiXK2G7
TmB7IgfkFt5mskqAmTj6k1/F0M59qYyD3MyVbX6RxICcoNSVvIMKM9X5ekNZjh8PKjw1MxfVsaE4
KdDKtGBdw9dKuxPgv+hMGV1XE2Ecy9gJnWkhcoEWId+PolSzDrSlj4/sei3Al/RmPxlkteyTWGRE
LSLcRpCQIk50CqDLqD8lrApCjcggUD6iVtNmnGanCRKCuAaU4xiQSw397X6ZUpUbR/XkQiu0BWc4
bmd5nZb2mOwqWak3LVroLqpE6uztC6CTdSBH8AobJ20gDkstKQr0mocMsZ0sqYCiW2Z6IjBxiXEr
HoHCmFSUF5hGpH9WXeIRe4vYsg0muzXjI9UpZyPAs5I3RJNZPCau5yrJPNmmPxojIefcHZl/JzVJ
LMRDOX1Z8gXMQuwOLBO1HMyPEOyGchfXw/QlJg9X7kVqTcteHXoOK9PNWGU1saTmxoxmRHINjkbI
6yNeoGvEgx3iI3r30smneksSN5cE6p1I3cEB7iMfFQjv1ECrHNVybsN8U6lRI7akWNwpWKIlU0k0
EDEKuBjmdE/sidRtrq7eHSbMGtoQfEWX0OTXePBkvZXmzHqolZmv7y75nO5yfebSEoOY14xtx3bI
ZcdXr8kXkFB3PRI4E/kBVCfRiYgDrbCm+TR3cljHI1GZa3RGaBsG8EKGkHL3eVvrRh7j765hXFNp
5FNuOdW5l5btsjFENV3pnJRm0PZZpO+8xHDFfskqsyUOXhntXrYycz/ESzXaGzm765/qG6i5+Zww
80lbuMqe7HxHL55GbfZxmmHgHGkS5+QokpFqh23rcoGgPwQ8q5WdauHEIr93NHQKEwnapA5sGcty
Ew2a9i1q5NQGdtmgzJItYxXvszTVrJAM/jxuxByr9aat7PpOJJOGRrZSKaeqMFSF8PuCBeCQaq1p
q0jzIci1Zbyruy6KjuI+Zy3NNBqBKx0Nw0Xqr3eMvQmB+osLMrTdxRlq00cSBmuMRYPTd64asKxP
YqC25rGqPGeAlshdLoUn0uKopoS8+2TVNhEDqbQ3MrHX4L6QQ7TLKdM/Ij+6fomarXRUF2rKRvEw
sFkdaQNgWEyOEc5LvXj7/83eme3GbTT4/lUGc0+D+3J5muzWvsuSpRtCsmzuexWL5DvNU5wXOz8q
yRe5nbFhJ/6AM5iLAIFtid1ksZb/2na6aZ9YIB5QNpNZHDMCXZJppJyRhLSxb27plnIfiUfIXwop
6gpkuSq6g1yutRI1VdTWDiQHrGICdY0smtXPNfDidfXSq4NaaHyFWqvLa1xCEALgy7yUKJwh7mIp
2vvYzwAsFw6lhJ/QQaptG67AaRK01Y0G6hdvNAQZD8mipuectF2GNPIDOknxryTRgnbZRTtgM0j7
uuONy1PqKhn8UPybetIZ4Mm08O+1yWEkeQ05gdEiVXdTLH4FTpy7GtvT2rDfc1+hG4vSWrZUi9fH
jao8sXGhvz6Uw8L+IXPQOYQIZaSgjtG37vNMz8Ea3JKpLB4yn8LdrIFqpOXFPvKxvYBlVcsC8OyY
QR7Go8eOciQA8prkJYBTnljAFtVqXoLOT+atJoR97et9h0KklmwRzWSePjdeMXtRTBtDF8YBTo9w
Bj36ZJkarBenkF7f5Z1KP7b9KCqaMkWXbUv6oiJiQFQGMEaVKpzmMHwmshTaGDqmvA/cKSf/GZTn
rLOn3KH12F0QuSj3blmoGF5pu2ogk1IZ77tUN7tDnrhtIuywxW5WZOJsNa2XWdQXlvMQQ03HodcZ
VagLyOKNy72V28wQq2IDwcoJs31bAWIPya2Wea64mjrsBltrljX1fWQ+WDshesfdjGNeP1u+Vp56
yTjACor0YRlGzQlzLdCTMAlURp45VR+SW6nZ1JrUWQqMRU8krcJK+uTIGy2fZDHYGXTxWr1rOo6A
O8e680TBMbHAvJrxC63cQREqr6mvZr+xTpPOSZfQLP1yRKtQdBZ7qKTIdyJtdPtQacly1o+prHdj
oYsXzyqbYItYBqDCgj3T2EDg1gvHXBkOs3IiH7XMtOm3UrMZoZxYUvZaTeEfFM06JihIceotkhnN
YRdpTdSO92Qjb2Vu5yde5w/xxnZH9TGfDONsKLVU2wlvsTiS9Kqn3b5lvdz0uurdbeHrw2NfrZOh
rWx53Ss49IM3p/7fXQFfuAD2lL7rCRqHExYVkuuRf1l7euIZwioDVUwjI2h4C9XoF2dWWeSPqVy6
+5TMoBcLbYMFt2jY3H173bIrSy9VKATINvec2SHK+t5+xogAS/DtD/gXn4+2G9Ji1oBJZG17Wlpr
tgGFG/g9FafJmUCPEdWBPX/HQLPvYl5vAxsNHVuGRb7KVybUqajjSdOtlHm09JxnFCeoKSxnxAOr
d0Whh2j6geo5eY/Pi5ic9820ooU4mepb+AX1lFqj+DBlldN/5wmtWr03Wr7fPhkAookrjL6u/RQg
ba0apLo5izz/uUXfsEQtcbKHqJDokFyq5x+83a8xLEQoYndbfVR7eky+tWdrFJiGTieSQ52ySFbT
78YWfvWd2NqjUFxT112AInNP1SrLzB2rhrcqgavGKco7d5F3Ex18c6oOUNElP+aOXcsgiL7Giwla
RCmttfe1SG0qzVhrzZD6FI6mavGjdMhzQAqlom/fwfVXffG8MDETS2UBmq3lLfu2mrbU076gYoVZ
cUy3cVcvMK10uyO1678zal8H//61cPuC0vEC8/Lu+Q6CvKGlK0cIkc1T/aHqYmth0oKsZ57pCahI
ssLcWGAUfkhb+jiHbZvUxlYNrpZGreOkHI+qBSo0q1SiXbRqMU47Z14+Ms7cF80CdQ9tAJKeWvkl
vh9cmX/Pirin616fDLFQwIT8RwuZs+pn32iN88JFqgm5F86D3pykcd0eaPFShSZcyjUqxhY8WeZh
Xk3WKRWG6jsD4y9GIuAbJkUKkkxMFXvyXMJ4AyHq1GTDmvgH2kIIlu32LOo6Ys8OjcfVt0fH19fD
5Y5ND6s7McCgSF9+Xdi3QOsKKw5bTfc4abhNWK4bTyMNrsbRcn509mRMvL3c+nHe3N02mSjbie2Y
5a+wD4uyHrddlorvjcNV9f7lOCS0aTWTugxDelDWh/zmMkCaUKc+6hcxW9m5U07OVTs3bHm9Gq7R
3xStYU7PhhsX8WEKc3Mg8yqooqIDNAS0XYZ7FkxOCpxKSpKzpzorI0+2jhERUgOX6CLcex8ECWIf
Xj2H8d0L47aFfWIT5s0wtd9+Sl8tOty2V/ce9mMTV/XeoFSjJ0B6qPmbkTLf+ARCI/817e+YnL++
CosNixrrjo7Vdz9OooT5hvyi3G8urfIh0BtA1KlufwsE/CGS4/8/+oJp4c0jW82dX3gvb55q/iTk
j4lWf/qSwnj90T8oDCyTDhPL2udAaC+P8y2FAQLsEXGx+gBQg/Ju/EFhQFNgsKTKmOUC0+7qtPyT
wgjeEUbOL6V82LGZOcwfoTC+Xi3WK5Pxh0rfhsRY36w3b47N+jMMUrLBpzIuzNFT37pKWIeL1Ywf
39yhv9jqfT3cuFRA+itRpYQR7C/tTjXaqWZyKQcecZPnmhFp5L/uvn2Vv/xC3BruHYnBmBC+/EK6
0Sa+R9kcCuxYbbUazY3WJulxb6jvRZz91lz35byDRQ1R3yqQ4wnvz95aAE5htvoc+XWinWAvmAbK
OMv5vKHBwzuzU7uowrbWEZBYrTX40aJiQ0DxT6I/0UWwNqv1sVpeEOJDbYcDZ5/ACjlqTRoKQMsj
xg/xUJVemspSATS1g3o8sf1sh7pz4n3tM1FsNF1zpkPbnjQvsoe4KzcENiYzK2xpfDITNK11psaX
MrGSJQraytTDzo1zKxwnyKONllQiicxpaQsg8R49pjBt7XNPcO1ZIw086U6KmgIBYy4/0QMEuK4Q
d+ehJI3mZkKmg4tAOeZ7ZAPxuSELkL0qhqMLpyXu2SR6laEQT8ocna0pCbrjgJvc29JUcpNJ5WeR
WRj6sHFlbWYR3nq3DJcZFjk0dFt87gpboLL0KxC6pRvrO8fMHWbEyTU/Ct22gR3bIiCkwcyf+P2Q
z6MhmzwsgT7ossXlzJhzoHFPwMrqc93LXYCV1nOeOGd7MOmmUS+befSJe2i8vMEIUgxUw+VmvZzV
yYh2iAKz+tSfi2nadATG2BvbWwCmMr+X/mGmuVNxitA6SJHq9gP8dDA485VmxEoPEUY7j2k1IQyl
I7y/qoWZ6YedY3Gf9VEbrNAZl/lM76r+LqYkQmwSf85vp0o1z3XaYEIwkSIu1GFMLirGomyNUA4s
PSeGW+M7ERZlvScFSe4BalMn+2Q7VfA+Lhp1a+mTLTYTTeUcU9EizTYKYx+pvimT/hqpe/NIgEV+
6VTLMMHCu+VdWvjdo0nft06gaV9esDVBRpy0hntX6FV9tuSeOKkrQImtsGo5b+PEkxexMwfzYZsK
/4MFD/Pc95m9bDoCFFFKcjo9dXLbODMaN+sj2RbDbZDUxc04BN5RU1eCYOHW6T8ESamKKPVmOFID
5OZQgw5kJzal/SN8iQeFU89oaAJhIVcDAgmeRpDxmeHa9ulBGceIpWYCcZINzE721CRE0oRzPzp9
OFRlg8Jrya2RfIK5GUIH6G5EZ7MkR+SPSTLGwI8oxnN6zlX+JKcrkgjYshpm2dC/s5hjFy6OsH/T
xTwN5tRejY3nvhStwHlExda46UtX+zCl2SM+BNq9O7wg9zg7UAXJwl0mShBc2lvMzDThcqQarsoO
CAhqwkYp4scENWxndkvQRLkh0BxqiXHiTpN+MTnSJizYXGCnIKYaNPlV2T8MvjbEOJ3y+SNN6oON
PnE1NyAVEzpKBi05GtIunrbS1qHPtFxr463yFART0a10bl9pwEHW5HV4k4RfPEECQzbNnQEupcC4
UbGMs3a0EEmLGteoqyvRNutTR/wNlyYIPQmVqsvs2OyCGnsScvD3qUYz5q6SQ2JsdEwHHGHHaVk2
KpC1ILIWuBT6xOpU1MkyJx5syIU8KFxV3EC3WVHJFOSHSWzU9mYwu8YKpT8TYTF5aaIQhbUchFsN
YGnVJYLW2cWU3hObZUyRX2RWdpD4U2tsF4x75kGT1zHTkz13KdPY3Dzo6fr6F5gC+ohX0X+P8Fno
26wHMkGRT1DDFg2IhqzQ7DXwFKtA9t5ryKmcuEmrU6fGmFWl8fihlY134VWD5W77JW5Iiw7q9GBe
MEVEXSEC0OCBAPbQWwWoYc0Lnx1M7BYPiCUxWkJAcjPdIWkckaRg2b0yfOFfp4g1H6bWduNdZtnY
jqQBpDumNkJ6O1cDTiC8KcOiFdf4GOBG1NJbT60iTn4z+Ko7ojmP8hzDmXgZzFjqt/YStIcEasX6
Jm6L9GUosuRhbpP8sWK7/L5q9OBFdlOVIbTucuZVqwI1Tex8JSEcDpObIQ/M+7I00wvIDzi5LjXM
89ZHERuy+w+yKMh0jCA+ysBHXDvFsNrPVsa07D0tKvO+lJEorfQSsKGaIqMd2+v1/ox4TZz41BtN
4wPRZv20HlcziP6yRtOG3a49x+GCrkEtXu6dlIYlkLx7Y/BBScN/XBjJp2XbthbyaonTrKQlhNLQ
fO6gg5EMPIumWlTYIdPniSfoB0INTRSwpVeWH2Obl3aTlLZ5LM0KKaKJJsjB9yeRQvl934IgLk5z
6QytcQ4VqJZtSd/hBz939Ydq6MnwRx2rmo0Xd86xh0IArNmXax0eYpaPgIuy21bwqk8dX8ja4NlY
QOtnI9c2Y5BUH3pjrFwKZNv41tLM+X3n19VhmdZLC65KPiC8MTm8IQfX4NocU9TuMxKzaxtt2FMd
tOWzaqgGC+e45p21c09HqKuN5nnNQs3xmjPGdc088gEBK160qtS1F2MQ1hxlprR3OAazI+5XcY3b
iApUR+jyGiA8+VT5A+AmGvTKRmGhYf1JLFm7qHXd+IxxQSlUBUR/o3G8v9VynBAbDizjvZqy5Mkm
yxGNstSXT2uAZLcxKsPpVlMILKgSVYYqfxZM0bmtqpue4g9kwHY1n6I/XC66ZrZvWK9oQEZl0B7R
4b6m/yKvUDxXWGcAytr84GWUZOAISIcHSlnUnW02Rhxmpe8cD45yzmAhwDl7jy1XOJJhrTalLuE0
c7833sdeor9Ay4jxsAqo+NmiOF+uan3QL+sGsS699JV/7Tq19nFwq6QMS7Mgfs63OlwssLnlaVM6
PuNTyFVtWTqsseY8xhWiCwlwbze2ONMSFzS84HtOgcxOZWL394tVjNtlwEyXsoyc4v4oLpyptLCq
sUTdTAlsG6LwWdCBjvbtZJkzZ3WAje6pYmUZoYGaNGyMInhfppl1nwl0zLuqr8ybChjVjLrRW8HR
rFd3zC3WeZ87qA+wPRbpCe0dEvw/wAYa1llWpsTsN/MdVp/A3LRwNbR3KCD2YsQIF86j1VwOqFLb
zWTqybjVbLdzty1s4VXs6fHL3Bi8vhizsqfCcqeTQI2SbU8WI/5ZRo0kZZdpyN04TkGRUY2G97O5
EFO2wSzTPeO8demwh8N6z9JdP0qjyONdoY/G0VSZBmloduKcjXnfXWiTm984OB3zjYSjPVoq7A4b
PGfNTQAXdtclnnPHdsS/qSy+7wa5T9rtikC4Hyeam/NNPnjJhYU2JI5okNKPWWR9RgVTOSOomkEH
+IPsvlbK1yAAa/WZnLzpMsgRpeJ5E/0pPgbJljfv8EapuDTVjx5ZTCqMiOx2wD7BMPZTASeA0Lq3
8yZyCq27KrU2wOrQq4OUVuf7b5+OXoHGL04sYJ7AJBZwJJgTAf1fHo+arp6l0eZdZDpJg7MVcddj
52vAdIMHg4xLa2bNKW2IxF3QOvPnau5QbBeO2d4ZnsDdqAbQlBOrx6uHqiHNNJwUunEyTaq5pU7V
1yMeqflJwVmywMOBD0iuxvwzmeLDFQ2B86PjqDkP7clpyGduiuBp5SkejUy5aK9bBDSiMtNbF4vL
c63K6kZZJvos01qwmrC7/A2B+yF84n+mCJPDkf1NFGM7tP/3vzghNv+x4hlfKDF//9nfYQzTf7dC
FKDlMBP6Wu3wLxjDNt75hM+swY/EDL72PfyBYhjeO6otqMlkgaI2GBzwDYphIMSEt+KkvsKuJFH9
CIpBVDvj9s24pviZV9x1fRsQg9CqfRyjxJo1xoGqwhyR2OoXmd2nTCOj40BfctXvsqBq2cVndmGG
VJksp4VhdQ6bp6JCO4I2Mwd3TWR+MJMYhw4BMBG2OJizW1iE9KKBlkCAM4/2RV6M0ttRnyg+tV1R
rd1KqTgRSzAlGz4AHOfSlSZFkBT+zgd2iZ6NLUPdPgkO0UhyQO7VNrPT5miOaXndzhCgVwOzaRLK
ZEieMVZReVK3Q5aEVj9q9dbUASgFfqrphEI19b63Znz7dbsg445h3eedxEPzpHkpSm3H8TnAVmVg
4n0uACOoljWW5RAT15hfcBV8ArNcG4IX1ec406aKTcWZVHmfHHQFMY835rLYSbHBwmPktxz0kzhM
Re+ds38pggPPiQPxOK1qaOJ+82qnkXu3yKjGrgU9ChVMSKvSJtwfaPHmPvLRjTywBLGwK37jJps1
Kw8VpEuFrotz7FIVzs1SB9j1DQNGYSNzilnY4jsJa6qwcFyVGjmBMTV9B9TPNze6v5SIQlN94feU
wYNrZuUziEE9I7YjIHHrzP08clzkptr+0trR+gCzFcdQOJBy3FeYx6V9aQ9DfL0Koj7NY+E+BW5h
PvVpXC4bOohSNOHNgLgsnUYko8gtsXinrjc+UleRWJGLcCcNIUl9cZu1DmKLzmjyi8QrzRdaNGMv
UrYl+23G+TSIOuEqSgUsjpeRRr+rOC9HxxSh0Snb303pMD6kZou9AQyAQIvKrLOrzGAXthlmjcPL
rAntTrAn6DGXjBjslEr8c69fN/4d6NYEie7VJ2bJhid0u5hjV90JdZ2jxyeJr7KMxzjPVLqxW8FN
SLC044prGBwbRCLNErZEadjATRlb2naY8ysrz3seg9/4wWYAJ8DmS4odSkOkZJh6nCLId0Od6fqO
WI6Sczl7+nxnocE6iG2JQTtJakyViWfk3SouYCwa/WrB7VwSJDZTJ/VgUy54hxFTgPFEeEn8JtL8
zHlwWVTyg9xc5XVdSvF4HTZj2iZHjYsHY2N1Qi7ASwolAvbt8bOSkuWsWnrj3sk9fgv5ds7ndggM
b5s7VCRxNB3Lp5a4EoRPbc34ogxKXDYe5p9NK1PzTCP81duoNFlIEyjHpQk93GPuhjvpn6OQqPUt
hwU0cYnu2y/JLJvVBlobN+g4ixt/0NtI9HP6LIYAGstuAu+u61LT3eAxVjO3WgzPsmv7pzx2abIA
V3LvAywpkm5zaKedmFllyR7AOw9EWmfPHUhSDoqSQALPWeMFUcBrgFV0ifP3RteK48VvmMS+vUVY
uYW3MylTG3w3bAo5fwYY6h6n989mLyOf/6KTZY+Osn6+k2WfYWeNWS/1ZynLuoK8Qbr/LGUxDDmb
YUWT9AH4ErN/aVXbDnYW98na0RJ0doEmoqiPeplmoUo88JIU4IzNsvG9+PI9UPy3TwUsDtKPwoDV
8stP9ZO9LX/xTF95degGnqyl7333f0+9yX708U8WcqyA/v541f8sUTH3uDKMbz8bpf8Xd5HtD34T
2DJcJfuqgX+kXOJ7325vfPx0fP8+le+sr/2bL7ff8faP5trvuWi+uvYeCY7C+Z8vO7H234FJyZ8p
O3l9Y78xHvc1Ef9Q28766b911XWeeTO7/WQJyUqCfvMye/P1z7bfrLKAb32b9e/ffJt/qpbjOy+4
tTeV/NqOFWvvKP43iyu+Wv/2X/C9meRvVrrs0bD7r/Q+Dft3On++d6m92ePvF019r+pkPWS/HZ7/
WNXJ+oi+8VrY+1uzf6omZx2J37ru3uTysz1lfzW5vCkc2Zdi/dp6E2fv9fuJepP/hZz+czXBciP/
+9Dy66z5j5dP/3H8VH/K+i8Qp99/9A/hjP4OIRei02DNNUbLwZj7I77cfkeiuQVUSts2KqkvhDP6
O88lnDxAUoOU1llrsv7l/bXeWWhdKKqmC4Ai8B/z/n69cf+yCnFvDvjJKsT9uY2EJkzHf3bTrH//
ZiH8ld00ey/5L+qm2Xvr/j3dNHvbib/TTfMq+Xk7V/LEvuim2buN3+imcXCE+6exN3qfjaIdPtR+
Re6T7wzq7FtVNQ0qoWKzgIwMwOkU1sxEftVbOXitg7HuH6qt2Rt4/87amr2Nyi+srdl7h5NfWVuz
N/B/UW3N/jf6FbU1X22P9ntr9rbRf/bWCL+Feq0WPT5xtE7uKiuPDx08+sjDEncrDWVhWtfqY/u1
1UbZk/VIJCuWsn5oDlc6/AQBFEYqEffOKcGH/vcK6fdn8deP6nn/qrvZ2zv+orqbvfknUb+k7mbv
vfn7dTf7pzQH5dybuht9b0gD+/9ed7OM8ApkiCa585xajSXek+qWXJM+huooJb7wuihUY58aDIDs
4K8rcIhYKs8WQbg6WWff78HB/rC3ieXTIi9ZhbY6ThtUuV8upfoUeITA9DRZdi2qMisogJZhtYc7
Ug6abJtDobs4ptGshNYkuttUlsC0FEpL5FIy8IkKSie5zaWbPrtDngYRYVf6w6Jhm8UnDAGKQzOX
d73wtWsxBf29SZoGP9AN8pDUCPvTDAQNN1PUQbWLkelQH0igTx/SxIQoAI5taKI40MvLQk4oUbp6
aB+0ZvZT+PhxuM3bakpDvW30+25EKod0ZMxuNL30r+vG9bvQS4U8qmKFrV028XzdC5toEiEbcT8N
eidQSKT429IyR9hUSWEfIHuxrc1AW1F7MFbE+4W6HweSINB6fDBrnRgOhDn1CXkHrDZZ4TkzBlhS
u+FEMB+GluO3H3oxDHc1BvYstHMketHgCjs/QBe2nEFVDeDrFv+MsEOq6H2tUiTkxVNyInGSor7E
Qyjvg3nWuy1qzPzBrZvRCOk0l3ey9LAc15lvX2u2Vn2WpOlpYVBJfYgIEFnuErK2UPDHup9EZUsR
12HbJzirF0Ogf1001G9hCw1prqzKiHVTdYxUPav8qwKb78ItTOQLZsNlRKhRGV4kl9E4r1PYsE2Q
tuKhQzcpcGprEjO7i15z11sybU6TZO7R201Cz7HOtjAa4VpSkr1v4g7TXgqEiEBW1KhdC98KsHYk
MEm15aD0y8m3a0IdkutY1IuO9pRsiSNRl6TE6kY/nwW20u1dLLw4CTMMMfqW+Bjd3o5Qfx9Tz5t1
wrlaPOV5NRZ5NBRqJhxqIhAgVE1aXyFG9/pzY6aXifblAutsNLrzLJ7sonDrS2ILfeSEGSSNEzql
3akjIosn96QQROuduj2FeLEcyRVvFVwpkqhlIQ+/SpNymznaMEZzRjJP6Lkk+pIkmtUILFdSwoGp
TMlcW7mKTEKe8V7kcBgBQpRnOuJgNiZ9xO85vDIe8Sv7oWLp3pPyx8s2rvQIbEj/LF45k/6VP1Gp
8u7kK6siV4JlmBzCXIe8vHFX+qVZupbA7ZWUocYRfibuCWfYmkbqn/uvDI7+yuZMr8xOQkK0t7EW
qZ8iyjBJy0ZOda7j82wRIkLt7DS9hir24p7BaUzkXWAN5s1AO0OQ+qaeneCyJR1cIDBMLfegTgZ/
u4ieUkffz0gozZsPUI7zi0m+JiOnn+enqrNzOiPI0NbCse6DcrP4fnNXlplx35kdGkacAlm1HTO8
K2FiEgkYTZPTH0+6yvRzEsms42bUR9RAs90R+jZjXYlkkhZXdh7MxY5JN78aGrMj9zqduu50fWLN
bs4SXTufnbLIjn2POMZQCyxBFauaCfBxrEI4DMagumgbUlFCpjrCZNCQIopOSx1CO3d0YsJmC5kg
5kRJBorvIivsjFRn58r0EiLmbC4m3gkiJCwht01LSMt5wmxehkHmtVjIXRsv6kCmy4FNodbHiZIc
tQkmEvkJ3RnkJQF2q4ouiL0LCOhsIYrWq/RDv8adACceB9Nll/XZnZv7qdhNnrOkx9WYtIe0T/ns
JSZCjKI87aeL3PKZ31xBhPpumpNmwtw0eTd+n+fdiUj6NcLNtKW1wdXfoQdCET1sg0W6J3Yn6a6k
oHq8raRHxLR6TZzxXtNn7DWIZn7NpFFrPA3pICTVoCggtabKVHzHHE2WzTC15RmSg/bJtGgzDv3G
lDfEzbXU+q5hOETecZfka0aOvcblpHzvj/prho6VDsQPvibrtBSE7ojUJG9H98mytueJkoE0LUjk
KV/TeRBBk9QTSIsYnaBfE3wMSsv63fCa7JOTGXAuPVnLLUof7xq23fiYGTJud24ak2w09z2qX0mU
MDEyUNYEuRSaf5mYjeYfqDVgqCOxDc/1Mjp5RGyF428ce80jwvoSfNIQWiFLraV7jomF7CJnjTEK
XhON3kADl7+dmt6ag7/enZG+8mosxLBm4rn/csn+ReV1e9uYX11e9z9Ve7RuB/97HOj/lE9J8zS8
dU7hruZHfsd/LOed4WA5hpVyIG1Nn5357/iP5b8zLY/mARjqtXJUZyf3h+QInZJB6Bt+NtekoIr6
kT/xH0N/Z2OaAh0yjLXejj7IH8h+M/y9DSUWW4zr+LDAp0Cq+N8vR2efIA2Pk4SZS+FkvQTEmdXW
Q73/NNkL2UCChErzHPlJYWx6/L8I7WdpxgcLa0pGlGONOHWx+0xmZA34hK0wX4hPczGwrrEBKW/S
0c8eU+xD2k7LpHsz1fZEPmqCQE80eUOfQtsWJ1qQ2izyJTE+m45sSW/L4anMD/TOj0/TkXjIW9Je
7Gs5Sy/fKqT4qEG6ccju2e+03q5OdV3tDMoOnBDbj25Fdpss2dYtPNI+LNw0ovCCu3mkznWbuG1f
3AaZqK6JV9PJ3Ei97F5TUj01ahjvMJkR2YkkxTOPykL29blTtIm9MWzX+9yl3aRFjhFUpy7ZaMgv
U1M9tHY2kDLdrkExWdFMuFP6wVCb2jD8s3GZ1CfN6NMknPmEaKH6vOnJ8yqCm9QmOQMprYUq2Goy
HA+xWvMpW+naxGahkbmfWlKNDhdpK3OnYswlWks05wZBfiO5ejCcIaYnI90OVPkg2CAZu8xEHbU1
EkOfN6ierTpK265UNIsExflILOgj7a+YSAo12RqJxE16KrWMMoo1ksYNu3ZZblgYq2xbO4Lot0aM
IzXZZtt9liSWKjqLbdLpVNWkyc5JRTK8Xwybelfl6vkZKQZ5vhn1WCKooqgVZ1nXlc8DGZ0PlBMQ
8EVMwROhqconvqftL/ARUa9RNesnUKzc06HlKeuqm81UiyZ+g731cJMFZ7Kn2XozY1L/bLWF+zkN
JrapftfnV/U4SGeH4sbPQnK1WuwOZdretVYweeSS6IOzc8i3xcTy2r2h9BQF+PzaySHWeo7Ky5Fc
NbVDaHxb+9pNTZjGFPaOUh984iTmI8EebVm7Z1ApJcWMQJxg6mRNf9PESG6uXy/Hk1rG7rCkXh1h
T2Jr96VHvFzIuaXtwkxfely3qs+uFq9X2yVB5LPBTWO8ePlICUcdeI15YvbGRNwcW3Y8u6Rz3Aqv
5us0GcsZMaSF/dGy1oIPx/U4mOm8Fz3qIscqDzGGi4lKFg0dU6s1nQzpsSnYTg9V1m2w3wzBYUZ8
tXPgdgmq4ppun3tBKikR2pmPAyEF4TAO3kyJf7H+rTPIGyyRGYaS9zVY0qXAFrPKHpY4lRrNLQuv
ezOM7gsOr/SoHLhzG6333M23r2XsKQ1+vxjTJiJk+slXwP0t1Kwaf7HRN5Yb1VV15GHs0ELH8YbT
Xqu68zmeGxJSpTz0keyHU5abR0mrlYevn+J/mZH/dNei6m+shx/7T28Xw9d//vta6LrvUMkG1Osa
hm2CVf25FnrWu8BHz2M7PDJqQFZh7h9roffOMCzdQXvLKIJBWQnmP7gQw3hn2B4LGAZwEBHehR9Z
C739HFSCiEFUwIIgXFyfK66D6w1PkUweeZZ4WKMhH7vySacIKWIyrp2oNS1mi8KR6DELVqCobe02
RImYnQVDWnCsCUjnDYruQ0xQ+UW7xru0lUXTdUAqvGxKRfNSkCA+XBt+yEFh4t0lbRkfdn1LMpul
iSsnmPAmkLpj02YyRnE24nsTTBiNpnX3dIW3H4LGS+qotIjBJmSsInyxJFkGnxrlIKktzgU5PP1G
0Uh07HWiOFhIbb0sPY6voWoH98ymjWfTprrnUSKzANa4iMTWHI+QKvp8a5ZyPmgFzh1tdqvjxpaj
ONWL0TxVueyvqMRIw7rMC9rALPezg1cwC/FaB6iJneIAuw2Zm2Znlqf5rNlHpdYhKzbUe/ZB2GJt
q4rvzZblvJduQga8F5zWSX9LwUa21cfOOi4I4yMdRxxqy5JdLtNcHLezkV53RXlJOmqBcaNPztsx
M8/sbBzuY1qxDic/845mrVk9KrqV3A1OHWfh7DtW5JFkeiCmQr8liINzCLHddyofW/zLc7u1iRs6
NE0y8gjhpxOd1SPeemhtOSZMQDy1bAj11iZhhnRQzWetWy9bNJl52M3jciTrJNhSOJEf4SO7Hufy
2MnrexFwQLbyy9xnP5R4isiIAr+NUQuDXZIromx2/NA2DSTamY7ZJymbGt1oO+14lJRe6FZ5nBCl
gZxYJ6sP3/4mMLNuZ3aLjkXQ7aK5cwfioLQ+cnxh7VzSzMOeZeMoLbL6GR2q3C5l5+ihtQZPukSa
AP9NVoma1oov6ta+NuoMYxKFXVPlhH2C4RKfd3c993qyWwp9utaW2DtUnpiBEPm+hVvm5x71d1ts
3S7tX7K51qQ5RcVgJDuLyLttJQgizVmayEwZm2hkcImranKUvzN99jcOuyN3kxOWOTo7zaqK+Zhg
OYF5zxHBACSkVJA558lgxhgik752qsMKewxHWJuWDcveFV2S+aub2SDAMbKXLm2Ms9bQNCIlJ5PI
WVeQll1yvLyeyWhZshMX/LEwLnM3q48wZYBODEVD7E+HMLidx0/+EPCLksLe9YB+J8k8/j/2zmzH
ceRa169ysO9ZIBkcL86NSIqSMqUcK4e6IbImzkMEZ77NfpbzYudTttvbbcAb8L1hwIC7K9OVSim4
Yq1/fV/708k2+TWpnSXUEY0dFdH5t7qAormbyT3eT/aVA6h4sTI6cIBFs6yPmIe1j3gXuz3NAGZh
45qIA/I25xZjGq4GYUjtffO68SatSEo7i6jvq8WsLrptlO9V4vpxkyTd94Z8day6xD1v7NPqgW0m
ZZy1InvclpS2ks3aI9RxCSVsmq36xtmUb+6nzOOQmlkg23nD6ECASUQLWJJ7LSt52ROBMXnoHeXz
43fbnuaXEbqV37DR2HhNtBWWfSqm1TkQ9R7u58QVpKr9Z+EpeUt2vKJ1mvGwpB01yndbr8pHtiWG
wKVygHk4mD9tN19fWHYG8Ib2Sd5awnjYGpFF9cgHhhLFfFrtkUq739xbF8pmxAKBuNfFKF7ddmNL
ABieOMxmY88nY0EYiAHw6pJp+sz6ndH1fFZYOu5mE6FD0BdN/rpoWn+fsYiL/2Qw3CfdwosGvxC2
Ppl0+4WF87hV2B5C18zq2CyWIjQ0AZk5w3oR0/6hWYkLEVqrbU/jLgVbDFtP1/pL5mYZJ2ZVPiwD
63L61uKaaGl6sraoaQAuQRCWIQQWtvwmHJChJf01yE04i+xjzvm3FNrPaRngY+7SlhX5DMJe0DeV
w/8uBuvZpF34UTf5lOxNWwxnLDT2U7Eu+cHYdP3er2T1hN9CnPIptz5m5RsPNfiM89JXZmBkq7ux
iDTQgXQb7iI6fx0y2d10D0/WjJwiL8+l0WtvAPhtGQNgcC+zsFf2JJfpyFmEQqjnDrXHIdk/LIZk
HcRb7BuKv+RHKx0VM0zS8aYVg7O7sk9p4eFkEUd96sbQqrCi0BKeWGh2v+vsWscy1RdWo6Dh8Eem
fGQx3hShZnQgEp02Cy3X6jA62HNI8Tf8cOYxvTV4WpKbF96lSZpi3hnQvS+YurbTBIrhwfVLFu8W
rGd7qBGIQxJh7KyUy5rmG30EEDUddwox4HEwS+1+MLxiguogul869Bc0Ddn6nuiqPkvBU5rmb+qd
y8ZuzsPazPuh7PKC5rvnLCD0h+HrVG05S9We5R3nrK9ek5Gnoz0w3IaM7Nrx6jX5I0RI/R61TheP
RlZGnuYoUP9Vd6N3FdRgbrs7HXRvr4VArjf3h88lzDmCUfU+Mpd2WZMl+mWGMXEdnFSgNig+mnDQ
eutjbMUY11XRhbQO0wt9Re0MiEAxIumGLGQhvflZj9XyYvGhjrPsiucuUjd5h8ObxHW9nccOpOqC
BUnMRlAnrA23Zt0D/gUvCcPyzi9tP2RV9J1bSX8qic2/uP6Eym/sPeOVjEkWzDyF3/Sl0783i2VG
m1GOXzn15KXEd3HsuK3fm8wQdlm2doHh1l8Np7hIKCVhv/j2TWfr5Rm1xbDvc3GoGu0phyEdDs6S
j6xVNCdsPru0pyzpqRD3izkOeytle2g38nqGhZP0N3rmwIh1pWQ3p6nCulz0cz/bXEll3YYSMNKR
zzDb38LMDoWunFNusclSGrl8BVdmoKy0rQiRyXqrmNOdJt3rWeweknjpteKQsyO4TwzdfkIw5kc8
pvxgdcR2P5fGetdhpHmt5667+NPcPKHLbWLbr/rYABq6rxvQ8TBwy/3I1sNppWtxBy4HRpM37QzD
Gfd8ztQYFBiaCkM858KALOlHkFnZc2iyczs0J6/Oorzc9nYiw2n2Ds3gQ2RnWqC+deKXUQ7OXTeB
kt2NZoP6dK7aOd5cZ7yy0EXyYOhl+grQIl7dFSu7Yf4C5mi+o2eaL4mzUO4Y23RtCLitps/arYUi
yzjXvPGWUMlrP7qufvmu9H+JZJQAoAbuso0OB99NlX4Z4BZi+zNtNmrd4dbsej6Xo1TPVc/e0ezR
pN+1W+awQZok2Qfmse1Y26wZp5JPYjiuHdCJRH8Fj5uEjC9Yj2FWhXgMWvhWLJlGqWoCPNgMIzLL
Rfuut8gCJCq2KOmrOTLqXN9zBEA96RfzHlY5jNyEKcjCs1cDkPDW6/UQaWmZ04ZO8hMF6vxtHvVp
r9rRDFgBt1FIjc3PQXeTQ14P2wXoiRNgi0tDo6ydSEN6GWaNPYbaCoYeAnvvn1W5pftBr9sH4EJU
r0i0QHD4+cnSUkxHmek/+tO6xoq369FZmJyM1hjmqbOcHFUJXLilA5ludGJnFdjS0J/xR1g8n9gM
D8fFMMO8zkF5tPTa5eQbN7I13liGfkaL9qqlKyBC/1pndqz0Ade7EeOMQ85ZHxIxy0ByquyWK8wm
ydQWSs1YH3uZMtUbWI7PscdF89SW+1rrXra5ScIq5TfaNJiLWIUTuyqffgmWtaJeSkxH1sxKt3vT
MXaKhOnNkAO9lMOwv7sqILBAJnhQNufCZwXATH8UOUBxDy5pMNgbuAuLp5qy8+9oFTiS597cFx1/
GtD0zvA6/R3d5a8ur7+C6b5bDUn6Ia1gj9Q1K7Gtu4SdDm8+YU+ffzZBxoeq45TilKQrd5WiHbFW
Ju2v0RgXBhO9ZhxgmDpBVRlr4BZ6EfkND4VaWd8Glrdu+iqt90Jr3L1wpRcXQ1E9wk5frhA8xaxx
eEaol1/Q3cm9bK3Y1Tx2/td65N/NaCot9zbfsCtMg/FmipRpjucVHMrN101NRwXvflc4ZkjLrgfm
kJQsv0lsuAkQaX+EHm/4VeDBBN5B770Z2KZ/rNhL30ub2ZSmFeq4lHZzWofMP+Y+t62Op0o8CFYa
B0Z8p43h1L4YgMmxZXx1CmgGb/eezqFbDk+O06qjVsFozoo57hQjSuzQ917tvoBVYVwxbiWNzGQH
5iCEFL/2x46v2y1uNT2PW+wxVAy7tJpuOrcAwik0jLLOfdF3U2Qh8DqkA56zMT86Fnv59cb38ua9
Xv/G8rTTxwtMcnniqTsdGrVUT/5WZMdrNOE4w3+gabsYPY95CjvQhp55/E8DZViPP//vf4GXpAP/
rzso+18/f6mP6v+EEFpU/mP4x27KH1/7Z7TU/UKilBgoEDXx2f34+2jBYrRADwOxI916JDHXlsmf
7RTD/gLA08TxYnFhYTRB+vrv7RTnC5Q2+396Lda/006xPht7/9j4013fA9IIKdSyWNz653aKtarN
62tUuIsyCCKUhjObPxb4VtnNPE2z/Nk1te9S+bmxLORt4tnx1pp7Q/Q3dQrfhLIFwtXawWp+Vy5v
Tks/6ql3U8tl37Tt41YMt6rJI4qX162UP9TSQrqBf1CV3a/eK051wrVAqx/mzodejgTJNhSKB2c/
CKXCpJ/3nbD3sPXfwRfGa5K9oFSP58m7L6vtdkinMmA6GeKAvR87+yFb6khl/n6agXcnlCK+0vCX
qRiH1b6u4PE4uf7LLpMnhiqHxltNHgV6jFbmnZ3aeC2Mk7l2v8RoPUnDvQx2EbEUGvdufrDK9WAm
zF2r5WiY/R7cDx0cLOu948aN6N4zq2GL2E5OvDInBMD79dfcnQfn2SzdyMBo0I0v1eAGo0ZjWGwq
bmSxG+AsgccOPJ/bdME/862LStVCDV/u7XX82ujZDcTkNhwpHCxMjATdCvhhVvZNoH11rBPqt9Dy
cNQRGSlzPZIa4RqKukaD8DX/XtevWzGGuOECrbePqbRC0DSozNaTC60exPURuswOdmjYbh+UQDtC
I7txao+WxH9RvPUEbQS1BG5MmuSsrxunpgJQkj52yGjU/Jrmyz6321jx63Rxy6y7PnUD6r+dtybB
Mp1dTmEHtoNCp8fPOrppVPDA0ycRd6Y6CKI2jXxX8wkySMSTblx/prYZ6PPjmL1kw9Na/tb6Yd+6
au+KbxkIsbI4adWjmUEz9Q+b1gN1Sk5cdqjyishh4LxrVx/IxvJkunWEH/ddUsfpuoFtz71dEnme
UrS/RYIeyc72feLdIYg5TMo+ui4hkay7TzebNsV8yGeMO3kR5j6/wQGHTGqH1dBc+iQ7wwGLDWHH
CzescOrsvdF7Rz5RRx7q+xzhp1epuF/VxbGmePSrfVcmMYOfMGGffdfXA784/c4cszMuNX6qkjep
7t3MfhbxAnztTNQZYFh4BDMJSAWPTQqOxqyidRU/c6/YZ3Zq7qZNRYa/3NbWdpC+HvslD3N5pfPR
DIqrJbmrhDhxq42BPQUM2a9MMBw7tXnAYv8madah8jskBtcSEGSHDDdabKLF2vlVFuqpIHM1vqXz
+CoGzwSwBISdk+BRZbQ3U5TmqSdvVr2L7SLhU5i/rtJ0j+BojsZo/5Dwh3dD70SUgx8mVoRoULgK
kQZQ+3gtMJLKfvKG9Udra4FX5U8cPm6ga/PLVsuqA4BX0HTEbD3agUytxH0FAYODYbZLz0ANIc0B
ULnlTWTM5oPXr2Pc+/KHjwAo0sq5Qz3kV8emMyciJM6PLpEQD/WpuNTS+9ls5TM0miqo5fUyiTUl
tEZyVhpUkrLCS25qRf3dVFO+T+Zheiy67blu+YHGUt4seO+YIVJHz9kLJ9CeRBiFgjikThna/puw
H9qXUlVhRUt3uJqjnC1wzZwLyXqdDdVi3w7tXisHDtM+orsZML6FwDjte+QhzOWM3+U0FAw4xXHK
t6hzkz4UJYoJKzkgrUIUoZ1n045yDf6guKLYqDbBcD0pzbiB4o8QvrBu7FkE7O1XuyRfzNCAZeSa
7RkM2jkf7AM34nhtkeU022+f6zjW0QnYuXRCYbt7YmM/m552nO0fYW8cx6m5d6itUXU3T7OeH5xZ
HL1aPWteEjtN8loN/p61OsZvIMNa/WCgwhyc8tK74zmdlApqbTE5GNpDNlrx5HYH7Abezje8H8U6
3BppfbOY3ncCSw9Qn85URw9L4R8tEBC7Znu3jaGK/AoSmpNmd/SUmVkxP4zqkqmajVHKiGBl+udG
2ZsISVY9uW59tq9khv/UP3/UP2zn6oxV/nUBdP4A5BKrtu//ulfzx9f9rfix9S+mfqXHUlZ85iOo
Yv6Wq3CMLw77NsyTbLI2MGcZM/1Z/FAyWZ7JZMeBGSRMmLP/U/t4XyDjU/pAdnVIX1jGv1P7MID+
p6EnJBf/io1hAklSA6LLX0dJYkkVGAlEtsPUD9UhyRVKMYIT0P2cwuy5bQ7SfraLxc13GhMl7Qhs
jDra8yRURG+T40PmMScIYItpu0oMaMJsHD9d1DvYzpHbYk6ItzXh4WIqxhXUBcuApHWRdzWuQT0w
SuvM+3YoH8a1ybtd3409MQANBBsDKU6Wb7jN+/wO1uHwkxOqacMy8dGB052TF4u4YoNm2FfvidEt
z/U2MePW3Xa8GYcamQSBPb29FAsX9Li8hl/usjExf+MnJ486C715NFRp1LGRo7RWO5emPyEMyBlj
QxYDSWB+689JQ6u6T+lE7yojz/Ijci8TF9fqb4qjomAubc66U9zOblPBuV+H2ohrSmyeJWg1vH2F
SzAD+goe81J1YvEZj3Q4B2jhbzLQ9KJew1Fz5LA3OGz8oGfUXZc00UshI6yESsaGpxO1ba91NFMy
RZwQZaZa1hvN4BD5ofKipYeflwzTFz+p3QCDy2remVNC96m5MlxCzpa+v6c1vG5xNyuhf0PSVdkv
Y+7k8EP8jJS1SpseUgvWFPN+IodALC6rgK+2/YzWSPpOP5xc/NBfq0EZH6NZNa8JnRiIqYnpkbRs
6T1IL7Xisi6MimmaEBENZ54WSD+47S9d/QSTZwkkQBp38/mRzcxjINMU2LEDIqf2x7JqubzPxnq+
d2sooXWN8WtJREffO5MuqB0EUSLQUNsSmh38Or+TA3fpfV82jB6EV9CJzUevpDIbiStHcCZzByM2
uCHaZTR396Onaj9022ob77cN5yLZUYraBWrshOkj3YYqQSTkiH6Pi7GOam2sPpSty/cc7A3Zn1VX
9k6JFiP4OgKe7ej50kuukrQ9dUbRcQGdderQ2myfGyQ5yykvJ83c87KkfcCHZbE+mMP6+4SuDPzA
1vYNwn7bSi80Byh6GL1p7nRGVHNNH8WixVFM5D0dawDkpYTb2Qnmuo057oooQ2xpeeL741ALLcPY
XjEQKh5YasKIzK86tob1zbXJTW5ryYaAlvKApyjLdrxNDy2UNwTLEwlaEwtiRwRiScZg7AZNhjrt
FoAqurvlTE1bE/XwkhQXk7zNi6aty3u2TtWB+Mqyh23dnDVvpLeaI3iGrPPYUBHu2DJJIr/11ntw
7vSgx6KnpyLIoJSHpGMfAKs4fZkdfXajDUTShbmGeUhUFXzANilPptvP91PvLA/06WHHpMOun7vs
wRvL9UlDw/E40WWsgRQiIIdKcvUiJgVkaLwXt+5S41qjhfJttZwFSeemCHc2+qq9bqRXrnBEb6wi
2KLJvZqM7ZZYSvmMrKJ/9wA/uzvUiNwIzI6il9kU6ZOp1W8ZSkCzs4yFfTHOSwpU0bk1YQ3fVpc0
HZiH2C31Rifk+qthjGkFmDLLkkuIk3QByd1W7g2f90vU4G5aad0YKa5AqMkdjUDDAbCT0+W+h8+s
3RuqVydXL/WjJJOC7IgCGw13O5t55ELufZ7IJCNwA5VIyIY8kqKnOYtDN7AWRFW1pZHSGtHDt5Tb
+EyI2wiYl5TdHYijZjrLydDAQ7f1SE02J9YW2Vgqi9u6MqxgsaWf721GVUVoL4LxEmsbEIdGBbnu
VA0InvcrLqAwHdRXP1X9+IDarLGO/tx7yZmjoydvhwJk2ye+5qQPxbQlYQ6eNFhGWV8YqoKjOmRT
xxkeuBr++vKYC3I4GmYfHeP4W1H6PxfCR2XY9YwR7pLSLHmY+ItRca8u1+Gh0CZ8gi2cSD9IC6Md
40nv0KnRTLOPm0bgCsxoo8U5U6XJbY8bxLQ6mjfbCLwl7y7MMtj5w7As170yE+sbVD/0bvbq5fTn
zSu4aeE+qFn9fEhHLj4U7irnzFncmaGctZBs0xpkckE5z/JOJwPdekh8biqc697e1Zlw772iRG9F
xMHxIsOcuwvzmqI/Kp255HlLVRdt2sw5Po/Uf69ibb2opCnvHTa62SlB/pGOKCY6LwIG6DPCZ1IE
EcyLSKe5a2Q0hXwoihLj3yz5KoyWKBbe2KB4nmFL81wrN/vHMA4r9eWUGrGqi/sESdV7W3FnCDgJ
QacyD5X1OxNF7JSc2bod6RU9OxBmA2hZudmw1peisHZ1u2pOrHMIFHvCpVbjBJnJGPgaDgE5L5nJ
XiP7DLtPFemNHc/7b9lE5I5Lygd+2McpzR4Na95O+ti/6QT1tp5n9SR+Vrp+bY/63m61bcbCM4LK
0b6VXT1xP6AZXztXfy6ptGUcy/bQdMvicP55vO99byRC1rJ7BAFT2sdssdyRi1fqXGhPXuObNYmL
mjmmNvVR2stqjMpB9d+dWecqYBhD/b2tJqxpTdU+r4bH/omTrIVzXPqG56prebStfcXsAZCYyS6I
P7LTQupUNI9mOi4aeFoYV5FJ7hLpelkQOpQ5PjCE8418ZgNh+dq3zsKDepC+jJGwrrGgBCBSsLhO
dinWK8xOrda028qMb81xWR36mV2QSK+v2ycN04Mf1bj0XzsLTGSQEhz8tWWt82habPYHhAeyIC+m
e1TnYbcAw8bENkXoBEN/MiWTbpsZF8d4NImZtqxpSZ58+dsV2b5PpOGHjsjddyI4B3c2lQwmaErc
LTzffEiH66wGlmt5t24ZeUpRNZG+2bvVcVhiMGu7uHdJrHFP2siDOpM/ct/pLhOMyh34MC7SA5VB
SuoRRhy7hsXX0mmbG/I/KEWcVfdeWuKOfsR7V5ZBqZayroJ83uriYRvtqoArnGz8hk7Zkji1jp7T
W3MZTdB4+5YKrU6p5+Z2ExqRx7IwjqOmBpP3vqxDpzZab6/r1I3fnNabzkw0lfcNYG72aqTT6PFX
1QuNF7Ds1jhdnPlZ5AZvZ7018xvWEZBvtoDSfjHEyJxQI7sPmNPXXvCjdZFoceo0RJSv226asyZ3
2iAMxtDUCbFQG4xn17bUm5vQ8gkKgZ49aICnb3DtDG9+VlbtWRCgZ4vWRF13xnPVTWYVchTOFUkc
mNaBZkNO33VDtYjjmorpsW7rvN1nmer0oHGpvwIIv0l+yZzGz+4J5kKwxynNlLL3c3GUbr7BjKf5
egc7Tv2Cho7xNeGxUYDSdeLNINZ76rIy+zoJgkmd1LZfiB3XR9tlk2+ZIXjjQlzdMpDu0IhogKh/
jSm51Q2QP/O+q4R/A/ROlJHNVMvYF3kvT65flHpsEJMw78pPMh5hJs244yegTQ//LW9pIkKQr+s1
S2NXFmq8WWTmUYXppggSu3iSs81Hjg2PLuTgqr8yqeeriiGxb13WMHbiqvQC9N7Xx27BeM3zQXJA
sQqF2aErO/Nrtngydhj8MurNx+rOnjSxHok6kLzYuuJjoLxyY2VbnR3XozMvsTms+y31gnE2fnVW
tuJVxf/XF/OhRGRZSOkuF125mcvPIDv/wFh6/EY8Vd+ODE/w/KU58PHWkd3eyFelsdZHuXgw+Ura
m+l42/pOepsm5jW0kdmlOtqybFM0Bbk/7zxouF6IEOPI1Kk59bVamb5J66UdTD7LTLlXvNDoF51Y
Kd/iNLQEtehqri4fHwaOYUltXV46LFvtQQMmmYW1lOywuAqaZmjwpnGCknEum8Nw2P0p9GgY5rFe
a5nAylo6xm0LDDPSTZDcB1nrXRb4LsTDCGC9aZ9Xx7Jjs7F6dg2z6gfzLkWApPotXFof0+TtMUDj
Q7SJJeJvTgRNOuk+jbZMykcA+y3W08U5aA3JtGAQSU4XrpM3dD6WA7TDeZ+Mfv/TbaCEojjmL9kO
o7j8p4vxtykOpGUaBf9bHyP49aH+33//ZXzz5xf9uRzifiHhY17dSL5usXpB6vVPOIjxhbs9nRKs
ZMRh/8KjNb8Q9yEk6xGkJRSrs5f+5wDH/eJdURu8TYSPweS6Pfxv7IYIm1bJX5PbBkQ/4Imocl1b
EI79axPDWsh/Xu+/7KKxRhm6Y0XvdySd9pOsHMmMQqeX6xnpwEcsN5fvbEws3y3TKT8mPgZqR18Q
7TCAZPtN4ML+WAvqu3CDp87BPLk04nW8zCFv1Kki4bE6FJsb8NPUcBPo635r/R5Ye31YiQBWN0uS
sF7SzmvKp4+1kK8E3fh4IYiY+h0rvOq+9BzCltlmCpOl1YkrT77OOuL7vDUvRpJX7zy2z4oikVUN
HgXpbpyvi70zvUUPIOU6cfS5mh0Z1lreQ9ydyAHicjgxm7basKAtafEthXAxiTbtSRk94+22I/a1
zKRl2H+sK25RTt+Rpd3Ic+Z+wkN+nHTYuiOQ9B3ujRSsP4cZ3ZWlp2+slmR41DNXo38tiZlNRjGr
kJeu+xh72grd0o2kJyZbVvFScB0lkpymZ7Fh3d51vU+MxCGKdmOIpGKYVdbDM4mnIYuvqyLGrm64
L0w51XnUGzqJ0N4tO+dUUw+QLGH28HvzDMQ2HQPFPnTKDbZ4xcEVp31SPA9s714IXK5yh5qs/kAE
UDXBqhtShombzO9zCqedJUovKQ+5Uxdv5joztEZxIJN9ivkJ6q6RZD/k1F2n/lpWNg+Nq7eDjMTo
ZlNs9ZZ09uBDMvFRwEB8o4tE+MmwlopjNCdAQKuJCysFkBgEgQsua+/juJmXObVdhb3byq+aY6m1
H1jONtINwuHBldjzCGzedeaaDY18U+VB9qhsJBUHs/I693H06mSA+6Cx5q7Ye44x9HujM1rCg9qo
27Hn5v0ruZykjWzL0KNrmglFOOtGVlgZPlk40dTsHptcwUj7LpQEoZBO0wWVLKqVEHDnYldA9EpX
xmoGD027ab5zOVwbakMfhU0/N5q4TN6kZi45aeGxgKPxxE25YXHM+3WTEjFIpjnqMf9w62Rf52QU
1VDdOwmhqmc+XO0LV0r2fHDhVe1lSnFU4NnE++CO2UgtMesPWq85Seib+Otxu64VN22i7LExGcqg
bHQ3hkcZ8uhdp0/kOikR5gdpWuJb7U46YgyZFn5QJt5SvREU98q49KZxZQ9H+WhwC10rI9fcvG/s
/UhWb4u0K+JWT1N4tVqVnd12arq3pDDo0pOB1YPKqtcHClLBhq6v8bekDVTfDEs19sE8mwabYKQ/
eTG4AT2VbquepWP6Nzm60PfUpEezS0AJEHG2eA8dKCP7l7RuDYm2USJUx8du7jvER2dsmFSMXlkw
+wPrX/3g/Vehjqgm8a2gRHlTJv9/0TK5zVetxXCLc2cujho6vCXuu3yjbmq2+mtrlmUR0Rmtzixp
ETXKdQfXwDon3HTENL5Mtdb0u3JhcypiBdU+V/gm2wNiAqc8YnQW+oM/mxvyn81G/qupjLXyUroq
R7/Bb4NJVJ+8pqwMWVErEWPvdAcGws7iwvk77zqyPI60nYIZZ0InVCegV7DuZsD3zbVJvs4UYP6O
6/50PVdyLI+tWjF14fzm+jyvNiHNxaBLYmGMvoMNismeZV3x7DWO5l+Hl/NxzSuLCazeiQ+ZqomA
Tt1O001t06ENytrSX5B90p5wzFRn2DqP3V1Xd9z7ZmVY7SHBWv8AqVifAj5tajuX/Ty/T2tJ/yKx
35UhUtxsS03/VcsymObwi+ewrKmhd6sn2xmLzOeoqepIvSdqw581ipmceZFDUD5o2TDThLSGZT5o
ri7urNHiSr/wQXjIU8kqlLTM/o5STn1k7VVyJUhd9cE2scy1uC3vqobuLt0e/7YQbEOfS3NaDvgC
Cu3GXc25DdS6jE+Jz4Pvtm17/zdXbM5pIfL8uVhpgoaIhguI1OQ9m1Oalirdp4t0Kpo6jL92tD4J
c/M8aMAHVDO9T0KC42OZtVq5ZymJXlZD76MNOaawBC917/ZBtlZWgs1poBnMI5o2mDb21SPurs0I
NG4YE6O1Pv2xseIILGPsWr45F85oMaVtgl+X2K0HbcU+Tum6IdcduQNBRmA/bezIwQUebqcZ/fyG
ouo/Fd7f5lSI3Vhk+9dzqisCLlYfDRi4n5gHxuofSz2W3a5f/WdUx//CpMryXSYJrrBYh/t7oWe7
X/AR+KZv8x+L2u0ftoBN9wub8XydaTDpYof8H8ZVQnxxPxeAdfeP4vHfEg9Q0v1Tpcf+sWUKH6vY
NTOEH/mvlR7/shwNGtjRIJx7diW6O3KIdKp22oaYrWJisfUpKq/a6vGqOznYFzbwPQW+ggB5jX8n
GK7XsCfTBwgGakOQFNxaO1UUMUpT91vS62Uf1iN86ywie79mH3kpdN86Ui902ovX6zO3dpu+fH6m
NW7ZFZ0kdlZZu63UVNiMkFCa/2zqQkuAPJgSFDrGHtZ9vrEyurk7OkRXH+Gnm9D69BQCO7/m08D4
8N8Nqciz7Wkes612U6F7lR0unyKU5VOK0iuf75h/ulI+tSncetf7qhbz761mVyQgoJC/lm1Ld4ya
CfGKlrS+F+hkuU9KF0PCQgyLCgToCVSUhe/80D81LnWRlXRxqtx/AjPhvCRX40ueDO3T+qmBma5G
GGLe1xjGiiemcAx557JhceZVNxPKbIwyI+O0ZC+unpniapxJPuUztZ2r7+JTSYOwIPs9DOQfAp7n
E/F9JNzsxOS68tiMSQa0e8uy3GxX200uMppgnKLJT3m14bB31DlR5a3aGA2fwhwuq929lyqTdgQh
BnTPKN1uS+8q2mEIgXPHXkg3V58qHs0p0PIQSEPRo+UdHdWyMMWF1bDpRX3qfBq4RGaY8KM9FZ/C
H3vRzdfuagFqrz4gLH1Ua+vVEqR/CoOyBXfQ+qkRWj+VQq4a1BNjBkRDraUVd/nVPqT3VJ8N2+rR
qEv1Ciomv02uvqI0w1xkXx1GeQEthqX1q9oo+9QcaZ/Ko+5Tf0QtVd2WsyD/VH8KkoZPWVKeCe1H
qjAotZ8yJRjqeJU+DUufsiX5KV5Crqz/LD1sTPUfYiZmITMF9lXYxOK+YsZn1Fzl08o52Z9yp/Xq
eaquxidNlsif0sVGGvaphJKonTA8sbNENEbHGjVOgguDurqknNld71yKptv+UzWlEWh+ygefwSVr
KsioLIyPVLafkiq6Vgirckr5X222oGJIS137NrrD9Jpi/WCFuB/L5+bqvqK7PrL5T77pbHUlxg39
U5Slf0qzKpKl+AVyXFqUGeNjml8FW2wPV48Oq3/fzf5q4Wo+hVyJsDJWpUnyyKuwS00OGznlXJkX
PAZcNLZPu9e8wlxiWcZMv6/zpH/kuVk8Gp9OsNFd/Mf/z96ZLEfKrFv2iShzemcaQfSSQn03wZRS
Jn3rgANPXwude82qalBmNa/Jscw8+qVQBDhfs/fa6jcprG8FwQzlb4IYAW8lziRrfinXgDFlrllj
3TSU721mENqDh580su43mYzs+flLlRGtBftn53uUa4pZlfPPGxkRbub+5pwNps37HPzGn61BaMFv
JlrvL+YdtRl5US0h9RRVLDLZeK5ZapFsmaBSEVln4zdtrfdF8R2rNYNNJQNgq+43my0xjTWnTaSa
kXeC3ik3kaVvLB68/hbKAf5q4RP2xhspP4kdC97ZEZIFV7No9S9p7K5LhzUurvxNjjN+U+SMIWun
XZfznmyRv3DXNnzJo/2bQdeUKrlH2cf6ICg6D/dJ2ZURE+c1vQ7bR/Y5FV09HdYpQ0rP0uhxi080
LTZtOS5qBeE0B68ZCU60zSWmMElNGw/DDDFpM9gZdT06BqSKmYvL0EiJpiN4I8veuyZPn4MoD+7L
1GJ8hClg4dMY2WWThmdYAkuQs+CvZ1j6pcjr+hBWgm+or5EdbihNoj9eEjfzHjVV5rC0R2hPtkU/
n53FK8lfEYrJcibaIt05JKQQ5kTADEOuUvpXatrBxQUwLCdVq7jbQnkSMpRLYt1QNTkvFGYR+sDO
Sy+i6BgnSmLwMmTaVfdPkyt1k7Zlb4VjJ3w/TKVFuJNjpeQAuv3abxJkarzzDNV3zTRjl5PpYj7b
xEtGW0aIhEyROoWpUuc17XsMB+2hxw8GxjLNk2gXRbTTDHIt40Wn9vKCj3cwWZkMU4NI3hq+nEzZ
hHDqZu6I4hR8Xi27b+SPAJvu7SpriI/qmWOU00J6um2uWlKhnsu87rib7HYzVgbGWx/LREvAIRqB
cAyw9+wYGSxfbYYOYVuN6Mz3zNad+FiwQH8wKkrubRBMvXWxR52+4hYZiGEEF6F2jqe75WRlTmBs
uKmDa191Bqry3hBqZycYm04pI5D6Yclnt9kyUvTQyrvqi2kjo/fR5FjZNVVLL8xD3Kv5KEyJOFMM
wxd7EEPvNOAGYlYICF633DzEtuzdacDdHAZR2KTAJzZtI7PPRemyuPIEMrPdsBgmurq6d1g8yZnD
Rwc4Wc4F1K7yVo+pvHfTvGDsMi5FzBdOmXUVSwVRbFgEy9y4tcsfM+fZs5+TheXKjDPa2jMOTvoQ
KBYeWmcgjZDJlnL0c1YsIKPKokGI72sremS3hAimhdNhUD4jJ9vMBF3+LSpafay7VfBY93Pvsrqb
y1u2Uv171K+qkLnGa40NoPG2NrbtaitlAzkrdSLzcRxw620qi5OvNzMPE2U8w5MwdYDZvBBu8VNH
zfzSsfu9Nu4KVFGofFDlAHT64hpo/smIcQ6pSKbzuAwpL6rNXLaIRCuJT9X3rOBH4oVp5MZOXk3W
5DT98Fs+Y0OLW+rNUVykVdg/2jVtzDlG0SHoLLL4FDk2DbAQomIBZdgmobNIKDYzPR8fZlJy0/lT
Jh6SuXQAYjmCD3AUwn2mxPPJhBw8jsxcqOBkgNt4aa28T0PNRfBkIS9lIwNGj2BlG4sMCt3xobeJ
SETsVAw3tNq0vHVkFhiNNeqJQijQMHPLKi3MPSN5k2nb4S5W6Hsf9Ni3P4i+9JNVqbHZ5vVoUZVW
uXzwWCTx5vhtfEUIw3B85P1/K4U7XjF9J90WMKFY5cy1um+LOfrOG1gnW+pVg0n4JHniqT4mRz7h
qc0YBsPlLrKKuCVvyVeIGSRPliI2JIFGVpM8o8vuy20sAsyxjG0ZVjUVzwazJXMoinLJItVjFw6C
zHH5lGtzfCaktCQF1U0hFMaT3Q2hhcPkX8CacgzZSjaktYzYOTdubNL8NdIpHqHLwNprWRv8YdDp
PzSVqu7TuZL3kVCEz9ZRbN5bXOTdTkAIWzZd19jNdj3l572V2S4Ax6kvvvyiJYR5QXgPjQcYRhCy
LkZRXzp9k+4ZrU5vgb1EJRY9G8NL4pjsdcy6XZWgC5SxWImIXOE+5nSWRYyRzK5Jqb0qyA4/aL/q
fOsok68ui3I4dpanMFWaOg1p7+13L6Zo5ZgklYaPNoB4o/zMOcyLmxBlA1hFIYaYsm7rtLm+n2fH
0XskDcuw5dlrvBoo7VCdF43Id6P3G26rG8Y91YI4zqQcyL5BLIwGvk0EzijNc0hgTeuI5A1bIb+r
l+axlnwKfZWRx+fAOBvj2GTagA0pfhl8fmLYBfFkUmjHprNJLRAt1Ljuzf/vm//TN9sANP6vffNz
/U1KX1qp/7Vf/q//6r/7ZZd+ObA84eOdXP9Et/pfixGEnz5eEhSarh+wFV91lf+t7oS15QUOiZCC
6Cdm8JJ9yn9vRkz7f8Bm4ugSNMyE0wX/T6QQy1l3Pf/bakSwlGF7I0xWJCav9f9omLlvS79oaIkp
aKpzbUsIn/mk9R7SAcq7OF5O8LNIhS1HmRvc50b8AtTdvZIw2j9GqoNoBGvn0KBiCJsqrg5JmvyV
xIFfaaMkXoc+iDee0XoXgW8M/CaMIaKZh2pPfTm+i8SNrnXHzsHM7Po2Y+H6nQam/nKdYl837v3M
5PYkPae+tIyaX6Yyfjcjf/p0iZ57xjwePTpmX98hqDA/HNw2H/ncdPeFNMIyjn6GwKhuLMLcX/AZ
SrR0Zf0zRtbIAApD/36Kq/YaML0K+8a1L9korI1AEr7Ro1vhze79EL4HTn43GMxr4eM/YRqf39tT
/mQhFei2PdUhO8hBbRIstXdRE4F9aGZKB/SPD0n16Zu9DnlCfDLkwn9i0XaHeCSXnRwWljDZhIRI
pG/s20vksTp+AfkxAiwVAYPvsjy3fnnyivkKNSkGulLMBy3c/sC5nu+nCZUcGtkA3aSfBRvOnAX0
U+7bq7ZjPGXRUO+KacQIUwwezgwvSkPFfHlbD5G/86NUlDjq2AzsfA+35zfrKOrLWFTi6IKi4AE4
zdl1YW8zu5AMIkOee67L22Wp0md4MeV1xNkO9iUPjpw/4MR4eObhDE5t30hZ7esKMAtD3sY/EPGK
ll87TvJWDz2PAl/EKPoc4rrR3h6lL3Ei0CEIPdzk2bfZ/UkqSlS54JfCVeTG8QdOzbfFZERSRq/O
kh7yqDq0kYdH+W/tJP+CFIkjo1U/N/+KuHwh/hcGhJ2eCs/GuVid4k6jWzFuy1ygo53u5jp+xOp5
kVF0acvkCDZY3WFVsUOrVkfMvtusPaeywHZplipEmcHY+mmg3XO31Ww8DMVCJi2EnEJsZpVWz2RP
oi9hirwbM3lrGX7FsoqliayObAJ3KRr9vhNYbSokgfYBjdWHT0K6bsGLjH+GyHlgacem5pE3KZo/
zYk2nDIp2qA8gmGyYlLSPr5biNHjOjyIKg+Xst7rYuaMt7s8nMYHtGMwJ4Jp7w7uYbC7MB4QhM7p
Gy35Ef7brpftned5r37n0Tmt38OtzU3Rx1sBs0v+W0diid+EiY/yoRkPNPTmgcH/iIc/e2kbm1TB
KH6Ocx8wCLW/cNrmX4FCV0jj3pnLXeEGL30qXxKR8Moj6K+p0RzNXtCc/00TjKpL64YljdOmBWa3
yasV7bWqYfOpWtYVIfuk+qDt4h+4PfFZ1awrPBR+oYMEiLb/zQzSHRiMbVEax9IgPzgI4M54HdZu
69/MvuiQ0Mc77kMv4h/u2rfEpffAhhwH19K5XXL7r+Oqx1jEL1NtBtugUprJmnFV+ZKgDK6+zAKD
2BBXNaq+7BGxC1VkVFwjYd1GEk+5gGcApIO6xUxhqLI3Q4RG1zM8TK77MUzt26qPxBtk3MDcfaJR
u0g0OTsKvQfRFx9m4nB95rfs8D4iqzqxqNsN8RruXWfz6uT9E2v1rbv+dYigHqk+9zC+G394nnwx
jLuYg3W0APFC8XuRKUaZkQR51LEVrxf3kYsGbFbyAcjdITCNvU6H6ziwKunj9r6GogPyJdvrjs1d
/S1rLs+V+LIocfH6+wSvYFV/AtzZs9e5Yf+0zY13e0Lk0jHWj+XyFUUcOV52WNEljEwUF+jQhMqE
o9TcJYG5Uv5C5Q2feAznL+ZUe6skyz5/aaKL4BgUYvg3e/0/JCVsdumZCaQE7xPN/6a2e4DW8uCl
XAZL11+i4kdxLqg4+QQJ8WeyAzaMxj3PI65ZxnQVHuIIi5HjYnMK8i3oKAPDXltu3cZ+aCP13aZC
7QOvepsRjAcVwCq7foGbsY1G9Qeh2K4OTDaeaXsidxAYzqz3tmLCUPRsgNzx32DJa7aI19mM71qR
3Ed+ckJYTUBhPoZ+k61GwAVAq07yU6Zab7sMtG5TYIXawCSAYgJQVoZ/FOC33iJwfCGK876c4mNZ
WvG2MPsfFvfPk0DIUjvxpcygIuoAsenYohmrohOyK6g2l1T32NahLzE2s8AJe8hfqPLDdDmBBck6
e8uy+DbOmh/oFJp/zm6m1uFNRgRXNgw8g7QC329ADhK6v0vn+jUtm1PvRDtW6uRPm8Lg2kuxYpRc
CaJ+VEOQcK1bb+x4+jeBnurf1MzzZlmHJUWgjuAHS0R7nTiIJg7Wyp5qPZ/uOGS+zbS45pFpPCAF
2BGT0XLrOhffKgJWbyPvsXvlUb4KI5NtQyfGNuqjXX7crtxFNuSB4YmS9wI46AbxwZNM7V08mt9Z
Iqp9hbce5SEMj/g7a9qOCzHdBO6yJeoq7KLaP9ptd27Lyblqx4yPWn0mpJPP7jbis96U87jpemfr
aXbUHbpSV+NXDNp75cSnziyO1Mso5iKQUR+JX52El+xdmw1U5W2KkS2CZLZUnbUVX4PaRMKZhxnX
b2G8K3zvSXJFkEVA8FZBh/aAnzSewloYbwIOW7Pg8wssKgcRxsk/Ke7TCoSKVxySICJ7PrkT1Xfl
0If53qbBxqCn+GbwgCMlzluNHBRSeVgjU4cz/kms+3aistigTUTVXN9Fc7MnHfNoWv2qN2CU5ZyU
T66xbV9cFpSVEYe0bPt+ZSjZA4VA+Z4X9mlQAFG0fdv07ZOQ46fKggvzKWZt0QbxaphgaK7MaOvY
8Y3r/slq+150/abV5nGqebjX5kPCpWLb/4Yg4mCJzw2NXmU+j8PEGCXelX78WaJcz8SbAsFQKEgs
fXFl1ZhsAM/vKtUSP85EwdFnZWM0yKoslCZUsU6yOVXAOfxcPQMPP+f4iyYmR7HBO5rUmAMHEmX1
Mh+VRNEwOMMuTZb6ltoSS20Sr0YFGAjl/MwTKXSpZpICgEVQ+TBVmvQHbNZ8dYCvelGwn1vlnq0p
kPvJ9r+9tLit6LbgV65DqsE7JfhxRj+/FnOyR3j46ghz50lcrqrhRJSb1lfNLXTAfcpHNJjAmoFt
6TtJk+xAQ2Ny1xkUO1uX4IIwmkHTtIrr3wd0H3Zd+tyarGE1kj1WVioIR1lyY9BuFjSTTjgC3koq
vhxiTZu3MPJ8GF3pga3toXLNP6qmpbTSk/YJ2mXaMbLH8VKDCXW0w2UCI2OsLzhctpmT3SXtWB7Q
JuI+ijaqs0mX7qZQNfOune3bul4xVmKnOlT5doDscNgxXQwDr2N6cJsWRmhTlRQTHmUDUaoeHYav
0UdEWWvWzZMqagjeEbVEPh9652+0wimokjYDK2PDGLZWj3A+9xNyjwtnKz0s27FDFvdjM9xRzW5H
t7h4g0OXfjS9EZLqwE2HccMeun3uKpfKNt7N9CvE8ByNToLaee0jWFhdfYOqyNpJFBJ2JoHIpqd8
liMynHo5otgt+3fEu414kPPrOEdHGy93u7QwyIpXA358P0CMM5qJiaD9xgIIZfu9OQRAN8Rf+ErH
Gg/7iP/FMgGbefRD+iOZUMbC5VMczLH8Z5lNOBXtibWJEcbSD5PU2vT8Y0pJ7+hia4wMUGSyc7lA
goGRDbDCuJjOKptC2DB7c/E4hNsntwF6QSGMItNghB+LW7N4LoP3rD0hublz2chID/cNlJ7A2wWc
BEUybqjz0ZFGE1sDpicWMn+MC3zTzthF7P0tx9xLCHqYVWW7fqAHDzjfYeAviBNwkF4AWIVLYZXn
JpcqVDAkS/9DccP7eVQyye6eKs593Q0bPEUhLLv7cqD+BZUyPyV1tPH8qxskt8o0V6jd3uvnA3fB
KYGup9xOn7zY5UUXcfW3a1r/CD1w52F1LtvsNJPvS5+9yefoUfWvwPdhqNivfSrYQzANNx0ugT57
jmxwi5pPH31Antphy5PmgNyMi3BAb4KE4iaHYjjbPUTHpOXylzxW+/iFg+WhFTjAvWTFysJNdIC5
RNbOQrUWTG68VWajwmK2JorvINhFrtns0nl+liYbIL1corw8jDamvqF2zC2j3+RsIs9bBCM8u5wO
YvUERVW5X/outGPSF3QVbBf4c8e+eyPPYacqC1pdsWMlsFHEltfJnd0huEoRWg1j/OgYfn3nxtQ1
iJF5QnFsWW8r32twjDt8WdzDBJ5UfagxYwVM9djM7hi1xpt1jzQm+OesmhrezeQ2yDEXc54M2UW6
vL9ily06LFpGnWVw18b5jZ/8ZdEFVf7PYHzoKS0OIqvwLiynoHEfgUxcmAsSfF7vcEs+tWiqxfIo
k2kT5V+teIbleYz4tCDybpe2utMoGZ/qwCq3g6txLrt7TPC0lZxw+Kl2LHJOaANBEMXL8BcwJcdL
PexGiMF69ttzzdgaZ3d+jSAgu3P0kfvyBNA0FFg0g7QMe9P2N63RFBd/si++T7Xa1MYugZ55xuCB
0mxQPVHmxJy7SuJOn+Ywr3CNbr1cZtm+w5/msFuDXHTx4sxD+mhO7Z8CDZIzOh0JJm5aeaEes6hd
y7XydY7UwDub0UKm/d9Iy5s4z/cB3mvojngYssjhCkwM0d/gc/IRSqWsnEqYztUxMYchvk7l0KgH
GajJBOXR+Ma50YKkpTK0/WkfpT3XEh82RTSV+H1PWgBg410rZ4rJ3Pj2oEFMScev3RdbFwYobqJb
lhOh7RX7gkd3NB9tLqRd0827DDkCJLaByzlhNorTJhi7jYujGIuTcOEUdSVfPmrvrezZu3uMCUKr
FTq02a6/L8tY3nZ2VLZfpKokEO+qyMsBdCb3/eLVzbWsSEHftVrERsiEPo13oqoVw0fOWuG1Kw5V
xPdjk/k7R6noqoSdXnTdTD900dUXjpoTiR1QQ9xqHdmDF/hbmU3wLzOjIFR27GLxyoTkBBAvRmU6
r3Eqml1WaefsZI3adjVarQJCxG6qunJf9NK8qZbuD06EYc/A/5kVe3ms8845e6Y7vhToIneumPA/
dZyNcLVujFG+6EU5e+iXdDDgjigZ+uJPLSsw3AnERHr6+uLrdarkl/6nyAoEeFSX+hm3oP+ZWmgg
Nzrm7wC9GJrIdGyf1s4KDkoT3IhB81fW0Bc5eXQDLu4Z6t8AZLYyVHCTDzEDH1nPyUOdBYzHVd32
J4SE8i7n4XcHE0/e9X1q3Sw5jwYlA97CaJK3oKPGczW3J6vznm3Prs9JM3hYoEznha3cyscIfvKq
4iVxJ4ujozPCOyK/wbylvxlzdY+4IzXYOmN96VX2pZcK+X5dVKEug+IgEck+6UWUzjZP19fUd/1J
KY8v7Fq+HzMi+A0Z2Dk1813rYIyuWhuvkMSTN1DxkBhHm3J9/ZGqgWelRyVvk0Kle5+AkWPtzHao
3LzHAAtO7vdnxnU5PculHK4QDNRtvnicpH6Kf7OtkofGGdWx7ZnJT8V4Ym3wI6yG76uh4+scGKyD
ZvNW2yXLszhY/9jghagbfiy5IVx/QcBLKUa9rz3D3gIjamC/8EKV3yYPIhrl4T+/qSVTMDJdxEjD
QTbZBj/KTbIL2xP7Iy4iNJspSSiaVfnt73tbjwVvSJdxWwENRO/YyZ2aYCyAVr3XGgNe3LhnnVLb
OymEEbKu5KH2FE20tiEvsJg2qVeXN/BTsLEa4wlrCr+YzVXUzuW3MguQhi1vsEiNHxgjDmLlBieF
FfyIYCAAAOvFobYkPNE44Hqhr/zIKvH4ezH9voBFzF+EHX3WWcp8EALWYxw4xWF1JOmIF/774mpj
9RGWqL1/3yAn4bs6q7dQUV2xo+Rg8F26cQaHuaAlBZMELiWCBdPnyM5JWuGxbqOHEqgfblRENIHE
wc8RnELilbdew5tdixUgWg7y4Ix8PEUWfNoRKVO/L5MJ+Q+pZW/1FPMyx8DGc4JMERtNcKOb+O33
xfVRhroYw8Ajtxw9kMPr52zp3p0Z2XvO0h44nzxz9lb7uLbtkCUJ70xPe7W+f1o6Z2k391VbUTtH
PzlcXZaLvC96SfgIxxEeB5qGjbB5MTkvJJ75CSyNXjsz+UYb5G8diX9AkYSz69aLX7ZMyjNueK4n
48cOolflcx/5otP7VRG9RQpWsZM3XmvgoBuyeJCoVs69hO8XkXW1ian/Qhj7xbFTLTuh9ccTpHDG
b4grd/0t444lkzNW0dEKxi+n55sapJ1tVOFxi+M47RGGEiamJb8r2hJeCnjTU4UpFDAAvzoKC3AJ
wXJeVaIgiddvx5Hz+6pQoAQ3gAzujGRuQS2tcRPrG1KrRhxRXfE5rr9hvYjoKif+qv2RfEA1Fo86
hY9a9ZNxMRwtb4kfkgdj6qozzErOC2gvD79Xp26X6Y9cTW21aRsXMp2Cm3jk52tw3bexzaz696MG
RxtsmoHMIozXswG9kbPn946KO06c/6wnypnvkCg4hOCOC5p+44l2iSlEplCMdkErn02JBEqlneQc
Xo+0tuP/QTlkhxK6wnthGP7DkH56ncUkHdHdHi28/TwEsXuM8rh57hEqE5VkmucscIwQ6UhzM1mD
eA+cjKNtOK4j9r6lCI271ZzEtu4Q94H3ANzQ2PY4e6X1GLjj3inqPYjDxzFv6eiNeRPh2cXHPhYs
8RUjqsT9l7XVdsEWfpoX+69X2pfGnx51r/6iVDd3OJN3UhHeZSbgvYamgDAzDicUKlsTu17n6O7I
JYIjA91hsgSEpk3zuc+z9uhBzaAV7c5xXRT3w9AjceYPQaf/Iq3+GKqkOhC294UC7Wag4s3ogpyh
+fSG+B6HYQyrM6d//imih4AhW6aNvRqnt8F2/rJd6Da5+uIEu7frwvsoXPe7MrNLHhunysbFa+nr
5PT0bVN1ot+0j50Yh7D2+g8imZjRtm7NcdxeWWVSJlYPQ9w/tE36jQ/D2hmNwNxW9d1hdrwTkNSt
P7vMZc03JF5PnQOLmcZlCcQ+kfVDJUkP0/ZL4nknd5BvjlffdI4dPEzALjl9q27cQlLIt3E0dPjp
9E+rm2POTgzQSI6n3mgcBEbza5cA+IzjAG9fi2tjtl67wGeX5bLr4LYDEJAlynoNKvvvkDpHHUTn
UVmPqXbAgBe7yEO03kCe7KY7vMnJJrcQA3pm0+4BmMVbfNcvMw4fmhMQFVQ+qD1k77ArcE4UZp9G
IXYJawPyBuWlds1HV/dlGFTmBATMJ0TMmUFVJK/4Xt+nuEZppHk0yIHiuMvbMGUmtvE4rFI3PVce
qwyRS5d1Pp+ILvBxTFW/Q3lghkObi6PwInsLZPW1U827blNvzdnLdo0BfMsvMayCD3E2A6dUGGhJ
e1xnjCpQSTbMsCHB2HHo5tP8pIZPM5KhCzczBHLqgyhp2EHg4zsHxZSfzCQzjw030yYSxfRSUGx/
jkOEL2GxhxCjjnHqiqw88NsjlJO9RVEpmerjI7kKo4DF1I3Lbs5yYCmAQ07TvOSHoLYbDlHjoTMU
PbZDeM8IOIt1ZBGCpHKeW139sO0pzmaErs9LeuDinBR7x0VHZS1oYyny1NtothBUQafc15iMwzED
9c8PsA/aU/m/XAuTUxPBS+gSuXEwGze/8+0xf097QlYyVkgJw6dg7+Gipc5ZHV1jFZxjLmyUV9iv
Tso1kz2+N/s1lh6o224kPlBLUn/saUi2gxisXedVSAHc2WVaFRX2WVUo7GNd8mGgmvicHJy7K9q9
RhuIVWkiTe6bYxVd/CiKE/EsqNwKiuXPGlvVvPGaMr4Q6creK+nTch93HodoxAe0wQyPZ8r1gO0N
KavDefZfs8BYBTHSPRf2CHjXGYnakzjGNxh/cjA/sMg3ljmzJoop4DbQCny0BOanlwT+puLhQ9E/
YTm1oxrpxGAT3LYEkPcCAcEHSs9AeNHNhN0OX3NTfjUyyU16kkBcBPkstOTWeyPb6YcNtXtq6inf
yr5s5Ia9N7IRl4gVSAc+FySoUDsUFZWo6GHZH8DsMWiAehZatj2esIcnGvlXSwVY19RoiIX1TRQH
0TuKtuwrNyn04tpAX5gXVnCDF5k6bvLkLTTIgjTIJnhiImryXy9B8yNNXR3iNLU/fkterR2K4aoJ
kEIG0Os/VO9R4NbYYTeur3EzjPO0xOF/ylYTH7hcJPLsXK1ZunlKNmHvMSfFHLTs1o9gWxs8Mhlq
s+ph+dnvu7GIbrOBX3szZcP0E8NO/MLSZd3lMR90WEe+nzK31TYioh4/hUz77l1Pa0kqC4q0/xTa
LaU+rB233wjMxzzsK2p85JjFY9em8V2d8xkAn4f2Olbep+226jpbBuhwy8nQEkYRbt3CfcQNCWcR
3FCYtiO7ncJyl2PQiYS9opWZh8Ua10l1mrLys9ChdIldHfKcZ2eCoGspR/9FoZ6+HdwaYMpC+FCy
MBCPmxRR+eBTYzdcd6L0ur0g8nCIA//RMtRyWw3s0Rlv90FIYicRkOjRAgZeqXtgaW2h+B0kEJ0q
TXKGI+7wjzQTsiaR5AGmWvRloram3y6XvXIJHHUmZlUIX6pDWXsRGB+LvhYJ4g0KqznFO40ijqJW
mT+Mr+0bpzSLe5a/inm+FdBe4LUP29LlFrNHghsNVuJXckOl2Ncs+R4D3voVo5N6m6md620hbfWB
tLT8q9D9HVyvNlY0HjOsfHA0p3Gls8eycKNj5BEzkpqL++a6BttadIPpT+GLvsIIIM0rWb7LrgKQ
93cErf+DEtE66anscgTVg/o0/T7215/Z3UEYsS6DbjCpsnZOT1HgDum+Ktz86JqaxVFH+FYyxkwf
sQjEN0lcA2HK1ZRVW6cJhhvXH31QArGl913OXYEN1fXfGyNrboqpbUfcZk72B/U+EwRCx1ooeKN/
V8rR+gqIxIKBZ6X5PWEDVphlMdliaBXXaa7oiNGUTUXJ2GuuXWGsl/1a3TeeyC9mSxrbZuh6A+1U
63CzSFvwlDZz0Md15d0W3MHOVuBeSvnfbCaerAO0P0C1v8+NptnbILteWNMxlafMv40AFa9BNKAZ
mAO9ElOAODug06aT6gfTuqnXVmWb8FyVdzJruamquUD4l7o260r8k5DdGxsuyNaJfeNS4D1jLEf5
S/xYO+eMzmyfa8Y28u4c1Nr88M2EmXMzdkAPDG90sgujN2jM/tQr/GpZXt5AxUl+iPvSX8RVZM/T
YGaAXbUfe+BBtIswgM+Tq4uHCYTHqDNekGgCRQlERMeFQ4pxIqOJs2EsgGomHFPkOieWewNlXcKb
1ct93qKqQG0fMA0hitM786xmnDxGbvc2OQDVQYz6/OK5WcQ/BiETH8bcEI5qpd0uNX32U+TkRLQZ
WhUnjHXViaP2GXrow9zULWkyNflAvmx+3Fmfqe6eSOKpH/LfOTua3HHGGK0QFjNlGhmup8bsPZaE
SBSE+85/yPG8nxdL3KA0ZFLo87XRAp5coxLxaGHGfMcF6oQpkIeHOS/dc4cW+SDa2N+NvXRvaHy8
By9PFuAW0EOhprQPxKE5l7H1vU/fi40NMHL0zMjGaa+q7rKQsvJnSg2iSakvziVvdIqkMooKaPXu
Vzq5OAE1QDQ0A2twpusvFWJHkj4gZjPeOmIKmqZTMK3UrYXs5IbQgyyYDroheTnO5rjaFYZvPTUD
rvId99544zXKPCQ2Yh5m7eCnQ2gGCOYVEV5+mMeM9B1yVc6Ldkd7Z0f2wBrSUvqpoSX4dlU3X5Gd
m5+jOYzHGSp6DYzfpMCNfOvVdkEEs8vPa4KAJiv4Y/NxptvAc1lrub585FRbUZSV3x/nMZi/XURc
MIdTgHubiQeAcVy8JCOFIQPwXdJ4CQ9rCLHA2NAPZVMFZAY3aGOxErj+ldEtxf80ou0FxwUrrOAk
p65I7DOa5ealH5PkK4YPvIuzCH2OxlF041TObda79jfHiPeHcGoosFFa+VRtZvnJsTbcYy5tb2bh
je8KTB01W2xKCJ0S4UygkGmqAYFiaUG9AzJFkcZu3xjemprJ0iZozZFaWNmogTr31M9Ff7YIfXky
wYw/M5/AwgRkgDWILHLvc1pS/WQbrngkYUB+BFAId6OoxjtV6fKxdEd59L1uPotiqO/MpIn/enBw
L6TI/k/2zmw5bmTLsr9SVu+4jckxlPWtBwCBGBicKUrkC4ySKMzzjK/vBWZWFRlik6373JZmSg1k
gAAcDvdz9l47/WXQWGvprNrdWabCQEWoHV7B9mG78IKfEzxej4gwsbCPfXChovRaiTaD8OKqzo4E
BYXnqBc2TQFJLZLU3K/DJTxS8kZkomAHqbOCQr1JcJEShkDvKkStbm8vD5hXDHecjeAb+ef6trbE
mdSmoAAoe9mVlu/oq4a4p5H9O0PTlbtYrwHXVSyG82gBsgf5zetgLx/wHQ2bWpFutFqprjvc3DeE
cAc+edjsSsvgIhxnHv5K6u4rBXmvTpwvxeNAXGDHNh8E9dHLCSnhr3DR5ouI6B8iFKKOXUFpUbPK
7C3rnwtWPMm1ak79rsT8dEVxqnsSZIhvM7lDUC/19SGYCxqsSKm2YR/CicNKfG6psEvMpQroCSz8
Eg4ElBf6sKWIOcGaa6U9gdH4g5tqEUfJTMcdYCzau8iFm92sTNSi0MRnjlHKyrnUQEVJKzHcGQqU
Jq0aLdT2+T6CbTUV7a7Bt6Um1I67ujuWDeXQUdXji4omziFrtebKniLNzYmevOvSej6wbDHYJFOi
+atQsjDnn7FQoahiKYQXIAqnckqY8k1DajkdtzDczxiDNzqd/U2L7auhRJDol01Ghj0lv9rvsprW
QSTNhBsRzG0sHToLWYhLAwneEdxNe6g6LbqkGZ1uujKaz7Gat3t6SctON0tirDXiNuEGSIPXTYiX
KEbQLw7LLr4wMyo9al5MTOr0AAr2tq6C4+EyaQrhr46OiyY37LMhtWPYWBLvf3nK931WWT6BotA2
g3kO91EA0LYY1V1f5N15rbT9VpMo18leV49NdmzpDeiuruC5uqUbUeEK0WARO/EQt/iw4Zc5WtPB
6SZOfbyrurI/knICXY9FnFfihGQ9z/wRsmVEJUnz0ZkVIqYzOVLpCkmqchzZRzsRa8OrLMOXGQZD
xTimMohWarGPpsgxFQeqXo5OGPOqyPu+2kcGpv2ulaYNVvd6L6o6+A7qwL5Y8il5apq82w+aTq21
7pWK9lYeonczFJsCHkacGzPqw586m7bDHCkgpGfMEEdKZ8GlRv3pTCc0b2vNhfK1J56MpjK766Km
8DaCiqcwSS2tqSkgWkF59VKVSxoqnkVO1RRNIwV9LZXHZ40t09cXupOJm/lbaK1jxaS8SUvGPlIW
i89e2gV4TqiSIe7bmxLF+ZKdAfWsmF1LW1as5Juk5YddyGKneIcOXJdIAKd4i8FaBifnw2Jj6R9i
VHAZfzaEsBUH91ISheyDFFG1KZEajfxDNRc3M6B1Y/l4kuH6XBuCiQUvH3tMg5C/eGS1ac1r94lk
Ho9oH+muZZPlg4m8l83buEWPRrT8FVCktQ1WeQHES7cA2+PgFiuvJiJ8nFobr6EVND6E0Ng3WI84
FPTqA2op8zIkHt5TMJzxnmPFwNsNhWJrWttFMg+zILcIjSVyxCpnPRDg5kqlqXUCWgAg7lJZ9Wgo
SU9yZ8FyL6zlQpInfBO9DW0aYgILQM6x1IS+g4yQsNowxZVmHxbBaqit8gi6mTX9CG1ua5/DExhy
gNYpdVHNZn3K+4kNVMrE/FQWxXSX5kt9ywqEthYGtRtdZnv5IrEtai6s3A3hzyZdQV1WAjitFdQ3
B8KngANYjBboBwW5NTQWdGtkFxn3aJN03mNkpBN1GDz8f0H+30Z2oazBC/93I/vVKadI/es7/kuM
TygEsCMdHw+6e1to/xPbKcipRhmB0J7saBzkBjr9v8X46j+ERYEc3puuChn6L/r5Fnly9M9/l+x/
WJotK7b5whT6w9DOE84yYZ0I/lXFZF9imCbAsrfGdcwhdij3oDcslYl+5q3tmiAiNq+uyNXvEe64
8F+r/f86CtZ4vAeY9cE5vz1KiUiJ9wljnrwydA29BKK2mLJHst0oIqa29Bc568f0Hyiq3zne72cl
ZIWrB50O7jBbuLfHy9BqkwYKSr8HPubHFmGhUTYozsdn9d5RwKxDkFQsQ9X1k2vHRBInjczUmOiR
+lVGa7uHp7t4Hx/l92sn5LXuZGqrXUPIuENeh6o2Ne+rjgauM6U0yFbdN42GtBGid4iJoHmv0PO4
+/iY62e+Sh7hfgmFtYBKZpMJJkE/uX5Um2uIlvNaM0cwQs1MeEObJudybxmfnN47h4LgAPqXRwNH
yArxen16apXLWPOoIwBOBPJvTOW2JZkLkl2eHT4+q3euJIG6PFGmLiwTBNjbQwkSSC0J4pDD+iHZ
9+SY7QxSjo56iWVzbJggPz7eO+Pj9fGsk6s4k3ddGgPHawplqXa5Qv1pQ051/Mlx3jsvRJkWNXpN
tn4bIXbdGFabzFQkMAZ7/dCorIAIkxC6RR16snT34/N675YxPWG4YOhDSVuxZ69ifgNixuaYwi8q
8zoaICDKMUIXTHiPWjjUn5zcexfx9cFW8sargw1ZSPplqXIwJKMeiTbqBt1wuvn4lN47iiHr2hqy
rYiXSfrNUWinTdC+iOGKgP/qTSB8fEjhvzDWXx/l5FwUSQhWFNgn54Y6UKdmxkWbLMij87C5+/iE
oNidPsHG60OdzE3DYlZNq3DZxFJeRpEZbq10ru9nS0mPIMiUx8bqv318yHevoaIbFnlFJE7r6zB9
dadaG3voIkXQvXFmXuG0TWAcU7r8F46i6gjJdYPOibme+KujBCLQWQ2bNb1imgQapVc/Hkrjk8z1
9x4pw9J4J68vWls+mSrowcWsgg2Mrg2Rva5lZ+khAyj1K6/a6M5mquo+GefvPVRcOmZCm09UrZOr
lwCpbGIDd3qnm8Y2G/oHoevf1Vo1/4WhjpMPNy0RC2vMwtsLiJCNoNGBCZdQ5cy4tobK1Pxkonp4
/ud3yiRTSl3fjpainZyRIeQoHAXTRBSQr0TBxqKqQ9fp46MoJ5BF3lUGLw9e8qRSmIIX1tvziSQL
YCqKLpb+QL7aQkP0tNDqhBcRboux1Kj8CrBtabrVREdZB+kYtm2ZzewnP8n6TL19axqcJcsciiGC
1d7JlZ3a0IqUCc4oVsSUMg9egxrb0ipvPg8NaTrQ9ixBUeB60jTAOhOtTZdL0ymdve9nqf5kFfT7
HEBavLKOYttUYCOdTDcFAZAAdVbvY2gbN5TVanJZSLwZVJ2tTJ8l31HhLf7HV+HdgzJ8WbPamgql
5e3tmIeKfLuaOQ7f8uD14OpQEgXSNke5MNsPZTLWn8yqv887nOarI55c9lnVEDkqvP4maMaI9BIi
mbS++OTuvnsU7i3LSYywlnLyMtcFC8BQmvCxSyBfBKUBV7Knz16t69V5O4Q4F4hVBo5ZVvbWOku8
mt3GmcNLA0epZGtkox3a8FrUDr2fh+xRpebWRPHjSIbAddt3SAj//OatlTyWzoKZ7/TwqDDovZR6
DauaknYyluW+ivqFFqHUnLEqozMCt/qTCem9EfP6oCfzRNEs0zLbvKpYaxujN9SWdKYGqDEsK2/P
1WG2O8LPJqTlH5/s+rmn15olJ/puWRMGm6C313qqLCKsAJ9Ts1bEN8q+U79B65RsEU2D3ImIaPv6
8RF/n+Nx2CurtxrcJQv6dYy9urs9GZkFMEAIJAFNaqOuUWnnNDKkYvrztSfradYyhiZkmVXoyUVN
9WVJR0OHuDESISGnCxm7nfjzFbUNudNU2I9aKruUk0evoIBS6mTyOZJZjVstRR+bJua1DJuJvqD8
ydTyzsPBnteU15umW1B6314+vSswskWoUrNBbg+RhTwCR4R8KHNhbSrTIItllKTVcEP4zieD5Z1B
arMbV23GoEnc3slcaqaTtaQdr+dF6uzbDOvTJRi43q2ICd+XjbFQUo8C8cmj8c6AsVWZTSxLbe6k
dnJ92S8YnabQaxRK0NMmtIntUKgsxTIJFB+PzfdO8GUfCywPAvLpgLGqdsaEVrHiicoB/0vd73Ot
E4RE2+quC0zY7hn0kE8u6zu3lPLDCvDjfUEl4uRt0UQ1rO2Oo2o9jVPE1bGFtaBsD3ST+otp5VMW
iNfJGiZY6eMT/m1Ct2WVJaSmKqCiNR6Ut6MJW0hR1TUPOtTYitC5QvOpkwx/ughaj8KZvYxZTdPX
y/7qkR9DEB6TwcTNvq/rCNEkT9MLSI+a/3SocCBWP4Rm8XLCx3fyfsqXVmmmjocDC0HgKkqf3tgt
GbME9qXXf37lmFxYh1qmwvLrZBpL6ZzGAsSSk2JqBZ/TS8sjdpzM/GRI/jb611MiiImhQXXAOH3l
YiOtrNXfy+hP6dZUsw6Oqs/39dS3n0wt7x3K5DmTNUMxsCKcXL1uTdIqCTZwRE0fjtKH5FXL/BCV
8rz784vHyohHDXgZibTrT/JqQNS5FcWTit6p0eV400isRSPK15+MhncG9/qW4Y3MxZNZF789ChGf
EaohOqiZoIovG23k1GVufXKD3jsKjxA1PYugOFU9Gdw8rYqFPp0OXUqgJ9VP6fvQ20X450+qxtwg
SIKjg0Gx9O3JFOVcB8ucYDgyhnsL5v6mUIPqz0fAm4OcrAZMTG8R6ehEWtZ94Hdph0dQGxK8dvbZ
xyNgfU29WXcAgqc8yQkJ5nZ2Rm9PBwBEDWuZmE4Ax/KxTqb6FkZmuUcKrC/w2adp+/EBlfXl9NsR
1wRhDYW8wBn69ohQQJNsBPDt6CjT/K5WIm8q8K+DlyR7BxJKtENUh6kxFvYWXoH6S5qlQysKPL3a
mN58/OO8N2q4kfD1oeatO5S3P01YgDaCfAE30R4WT0Lzg+K4eP7zgxBwSLuY4pEt5PWSvHrMjHpc
4rYSJRw9lEJEsybY11sZrewnz8B7d9O0wb9q+OnXd+fbAwV6WsjazLiBaI/oJdJeIJA+/p9dAVX4
k6O9d+0sg4eAKB8Djs3JgoBgHWOCylU5qO2Cs3TAj1Mxg3p/fvGs9d6wziK84CWY+tXFMzOz0eaQ
2TAh2ONY9lG+mYQWf1KOfedcuGxsp5gNuVGnsweBiRL94WhdoprRRTba+HdjEf1pvYhsCBooFKTW
fop5usKwlkECPMDYx6uZn+czlIoqwKPw8RX7vQqxHoYOrGCnzQkZJ3MUcYklKEITOVIfxEdptjRf
qbNDOQriBeThwhrFDYD5gMRqMzij3n0w7Kr65N3y2xqOH0KBOkebgLK9ddrMWWq5t4GvoV80BlXZ
EIQH5UxHjzQcRT8SNDuNdhbvm4Fb/snAfOcxYCNgrXnlZINCcXv7GEhlJGAFY1Wec7RkbiQbCA+q
+Kjpoe6SWsGvH1/x90bPeorUvOEu/9ai6JGA5NhDmNOiKHZGRBVIyPE2fXyU9T35dubkDc1zxhpu
3SOenhbijnBqTG6rEdEYzizy2WZYyXvIvNEnQ+j3K8ihLCzfKnucNZnk7RUkRtOQG8EVRAkJ0Wgu
s9rC7xopX+xWEz+jMR+DT85unS1Oz44nj6UczSuewJOZOEprMaGbxN4Bz87T7Vrc12Crv9e9mXmK
UqjfKYhMZ4iwyl3eqO3jxxf39+GKYZZdkkHZ3VZwDr89Y+yccjiMVFOAjJLIapg/ie97FAUlDyg3
OZ7jz1aUvw+a9YjsV9l8U94VJ6O0HWNQ+JjFwVGo7FfrvkekNhSf3Ml3Bg1cWtaSLMDox5xO0s1S
Aegz12ChDCGOwO8BOTRQorsS2EHyyXPw11P9+i5SZrNoLdMmZi1CVfzkLiqDYrctPHAXtXgm7Xqm
62cJli428TlpbycZ9IgDFYbkshkMaHVUZ7XStizt0ZXTKStrb5HsBoYJzw8CfilRj/T+pMFV2I4T
R0HE9LAHa5ilZKLQ7zyMVgvKA9kxQdFjAXtyR9GNmBdZF3N4CMZV00lAnFJ6ZqeEEbGEKSAkrpRJ
/HcNg+0qQphY7bWUiFZfSZMod60XWeuEm/6h4uWTuk2GtdAFyISFvDQBVG5So9C6G/EimTWtNmyv
W4jNmWeVQAgtFDpIc88wXuL8gV4xzdvoRZfLGyD9mRfBGBKGa7LWkRU00NAQOgPwcz2QKlBzN4lV
ZWoDrNOuFtEJcSkR9Coi+tBC/uQabQhoog4ytgYzNed4g+OraTZGMSTNLmuVdNqGObSwTfKicm5U
FUvC2PesAXgvycVBMoi04UeQohGDTzchxh1J13PLVXCNW0B7mHCiQuiqWMl5epQrePStnNCBMVjG
fEsvTuUWLiX1lukv+TcENnxGkY4raaCgW+B1t+Pw0JuTKVgtj4BW5BGmts8dwFscyouEXjxsQmtF
+uYwBMbFIK07q7sc4vUqfVd59stNP5QxDvacMIhCdojKAYm5FFxOdOsR+Yl6DsHOScXcDvtQ0rAA
kuFFVkTWTNC0AwPC0UWUN1BUs6JtEf636LF2dWbAzrOLPoEuFCf5yvMcwTNFYTd4bNLjfT9O0nws
avbMyPNWJ3lToE2EllvEX+NaJhdv1DuSjGHNzj4YdV52pAoFT4TtmgSZljFNQsgZAAyiUdYPoMGL
XyaK9S9zmg2/okVG7YdMBx8MHAWzcPMUMkDa1wro/q5pf2hNPMUARuTs0RAz1YESStTFkirlBVGY
kbaF6QpzKdI7sv8aga0JGJhJRz4SVnFY1NXLsQBqeoCzJkKPeCbz+2wl2bexg4JZWIG4ymG1Ikgz
uIcOiboTW4AUokyNOO1KD4cWhp+CG9hBlJrcp6Vtzl4mKvsxq4thcYs4x31idoZxiYcREjX+tuSa
7IS534o5grDVYYxL/Mq22mJTLkNjwIRAyuyQogv4JNbN6GnCV/NLLIOsOMLQp2Mw9EuKn2LCatok
JAThEx7z1BdKPV1LDA4YGJ0xQXPqlmLbm2YR3Q5KFWJ8TVrYLKSdmq0z6L32K7ZzymLEAqMDk8oa
/i0wWfZuQIjbGwD5Mk+zIqmov8L6K/pr+Oq9sIliWhQlr6APoPYFDBdj6AINRVQVTwpA46qSm6NG
vMkVOUAGWAx8WqYjJZJyTp60/Jwu1ooaXpqm+WbQKp+eWImL/CyCExj6U67G40HK87o6SiK1sxs1
jbP6qCR4sK5qTNLzMZS76tuiK3N0HyIqC34MHYvjW7Uu8sHnDlnmdW0yde70ADiJX8jFaBy6WMLa
Dy+xgeOEvW05KwaVxBV8vqJHRGaL0aM7M3coX4jlYT+eGqGy56UzNdtGXkLDT2szCra1lAfPiRYA
FklHgiyRmjXok83MJtKnReZFuyhE0v+9VwpFohvOGzvcBSjp42uLYAz9QNw332AHemJsYP8XQDQC
klyvIpMewrd1IGjPsT5MMtybslFBdsigIKbrlAUihN8sSZPbYl7IWOQNoGOvxsaSpfcBWVhygQoY
cvAAKpmXGzYf0QB5hcBEJ4JwVMxlza+gpxZws8DP1M5gEM3c+RGxKnOmSJP0arbIG8fYMKTjJWQs
DViTSoq5Kw9GCStw0DipElMU1QM9bCb1vA2aqjgbayIvmCLLyrgeySTA4qGbTMQsVqC31WpZAezp
o4K1LbkIX/XUniCUaem84H4Jw/oQVjmvDpn6IQXNKEx7EM5oIm8ndh/qi9xWtY7g4QfNz1gFksyt
23lzSYwx3d8hzZF5VlYcGC661IQoMrZMd7iHp8sVRX+rBQqet0rTxxnCdGv8MBSyWJmwBaVaKcth
Ec2oCR4WDTC3ExoZj2pngr9jIV8hhgf8WRzx1oMokSLDyt1cKNJVQi1Y8lKrBxgwxzil0OFE49dI
Ujp7061bv02Kq+Yik2poSpQxZWTJZfINpCohDVI2Nc8T3724CvBvTIsGMlgXV0ZIKJxcI77SlzF5
QgCUNedLS9oFRjL2y65mVvRneVdjFBikyb6ciZC394WkkOOQqaF8qKKhn51etmciKk0dyNwUMUmb
VTpYh8Cqw4h03KT4qRMbgIq9KOqfOBf0S4gy1CJxm/WGVw4LuCAxlvk9gCEDfF9Ql9+yJulrH1tm
eVtKAp261MsljSg7zK4U0qRM3kxllqNDAp+xtmyCxQWlmkMr7fr0GZVLNLtJRjg5S7qyM1yIz5n6
KLKqha06h/WFHRRoTVUphgyW6KaJN4EF4Rc2u1PulHOu3ppTMaZ+GuUAb0w7TLON3qvtd0tLe2I0
TSidjka41OMkpyJ3mFSWMwM++QM2XRyJaT5DotPmrHkg3gTz/jTj3DEWTR2dQCzdz0HptBtNxXeI
cSr6QQnEvhVaoT1odRjr7hiF0i+tG/srihrZ925gGneCUFSqU5G+/GPWBvuHLWUxKaSkJz/oZH5/
b8YyPehZAiFo0K32p71M5Q/6PgD/SDAqCF+gd1i4CVjdxoHyUUPaxBi0lZG73schEuRN1itkgE9t
KUmbNC5JURm0kYBz+i2LuoksC3CZGmimtC2SPrlDp4tJFzOw+N52AsIiTBUyBEoKf7oLp4RVi9UD
ddnCjkoJ+pvM+IJIeGPc6XasRrgTTKhdrRymxpFYeRq1KxaARAmrBQDaA2jKN/Qgs+FxlOesJjVh
FqQZkm44KlcRjRJuYoAZrnSTNqkuA/wRqkPeYDm4HTQl1c1UpFyeviC0JgNxzgGgJSarHwPb55M9
8lKAw7hMnmm2MUHGqhwH2yxdObPqEiePtTBXsT8SZ0GccUG+uBAV3ps8T1W3Cq3cT/SM32o1sDc8
gcbwqCVKeN+kLDZ2eoiZnAckGM/gno5fjcQCqAubvrpMM3htvqkmKASYTY3OJz4X3AxiaBAEJRHT
M9QfLHqOhIMXXTq9LbFZ+ry6EUkvEw9vRNZ1jq8Haqkhwb/Np5XKQbCxcdVLXJi9MMOKynWIoBjd
fGI+TGG01hRlSVQX9SKruzJMcrEvtWzCfTdJ+uBlZk+GuMaOi3gJs+O90JL/lvm89qRL1QgCAHjR
2B6UmE38NhkNVgSWDfhVUwmeccxRCR+isDYVTwOqmm54SI0OUTTvXc8wYxZBAclBZ3aWmPoW1TVx
7q0cTZmbIGp86vQhGfFJNwipozaCgpphaXieRT3A5OuT8FqbZPNJl5SsBpSFVd8zUDV8W7oQg5hc
CLnzE+yfYBbKtLvQgiT8NqqRzYJjCeXbPGU+XsO8mKrkrieku14K1Py2aOrACaZG3EdTZGIj1xJx
bKwivS4CSlUuYRvhzQJhSiYXsJ7OpiHgB0KNhj9Z7bro64B3V/UMuJkTZBcdSwBgqvhqrlX1cYon
WvhIaobbTtZCpm/LTuD3B3hqgX5AzGlUeX6UyhRMXWoOsNKonRuFa1sGAP2AsByCaeALpC6WV/k4
WUYdxT/wIle6O7A4xRBL/Ds7Nr3l7bj0OK03Vo/Trihwc/tWZKmVX3KDbF83Cvyb6ZCNmceVzG/Y
HNc/8AisZftSiWt/roy23dlQK7CJWIjN3apPNFYsTZPN/jwXtCiMdlZv8L+EbB/mqSc2PinbPafV
/cpUrf6qYLi6nMuENJalM8tnSM7LdxgSFXaLHqiNp0UmXvQqqYippgDN06giTeE1Pum4izCNXSuz
rt2R9cLkwEoDcx7SSXHXzBZrkC5RGg8tfHAtQ/JjFg7KfGd3DWmhipQGDaDFQbqoUnaxjiCUcz9n
thXu0tlg30kay0oHiAKZOAkrVQ6BhjySrHd9HRpWZ1yN0WR+sapaM4EDVsXzICfjbV929leAPriP
G8gjZ0lEuqZjkBV81U9J/UTRQoU/a7XLvTAxHOPgrkmjiPX5VsHLTpp7YCRssOrqGvz3UG7CrA5+
LlG73JD+g243BDv7FaVtp7m2mg632dSPj2puj4ArWa/srSVorAPvvpngSw2pP5zMJEceK5W8sJYq
YRJacJdiPyuClvzlwi7vkmXFcIQrPsTpKgSojprZBByocTzgGlX64FsAKuwm1EPitQl+KWZvRjpE
/OWiBgE4xAYUsj6ocuZqVPFx/POQwG+0ksnPmsh+JKGM4KA8AnAHqjrGTcJ6PPqeZVVj+ItereUB
KytukCijWknbGH4VdTqcUU2HOx6yC5XnDToXLMPIBeh52LNroSMYyCnAmlnIkCeXlIU4WFwz+MlC
OBnPpaXvm92U4kTBJGSI+paVtC3vtKpLDL8PLF3dZIGMkH2BzrsDcivNX/uxT6kL4K4w3BnXz/qW
A+HnKJ0iD3s24lWGjwgXV1OOarxhmGmBmwXC4I4wGBIvi4tJv5JTxZBIYwvBiKaZQuAKBX8RHqG/
lbWPS7owzvBs8xJFgCv6o1qZOQG6ZYCzWLezNtwKABFfyWjh8UhzlA002Vf+cpamd/MY6uTc6jy+
m8JsWBQWmpzfG9NgRl4NX4YUDWZu3thBytp4Jjk+Zns1lY+jpq5ZZZEuC8Z/Yd2zdSdQoqWdvRYO
IgLEuqSF1A5QJgMvbM2Z6veJOdSusPPgZz5mXUKUKDYVOCHQfglVDGYyMEXSwGBdu4eEJybCZd+t
CXeSuugbkU04osqYFgFvFV7iZFMWWaLi34lashetGl4BWeX4aiTChdP2S8rOoti/FA7/1xt9f/sS
vfyjJMYnDqPu5I//eR7/aMq2/NX97/Xb/vvL3n7Tf15Wz8Vt1zw/d+dP1elXvvlGPv/v43tP3dOb
P2zIW+jm6/65mW+e2z7r/isUev3K/9d//Lfnl0+5m6vnf/770888LjwUxE38o3sd5IAAfhUwfuA2
eW6Kp/x7/6N859v+tpyo9j9o9CEkXR1ddLUVPvHv/Add+YemEaZoWiY1ZnQ0VKH/tpzI/8CRyouK
PAZNJh57VSe1/2050UnZVrGcrNIwlDfGnwRjn9R9EUPQ9qTLzkjC447U7G3dN4bitdj2HLEfmsKL
EHcZKfb5cCZFYthYecCsXLTyJ7Xuk6LsXwflrDDcUGFHXvf2oBqGWoo6HDSyRvKlcluCkgAjkgoZ
TudPDsalel1Y/+1g67+/aqCFMzcAUVcEejUaj1GBEX4hje6TOvM7R1F0StmrSsLmvxPxjGBtZtLz
wc02x6ML9zMA8iZy/9X4uvqrkPxvRZ9flXHRtf/893cu3JujnFTpm7JUCY7hKENEKkAyacq1pZCJ
FE1d8GcdwfWyMSgFwgjaWAaawLeXre+VyGiIV3RMwku2cNNkp+4X85MTetEL/E/BnHaOwUKRl5em
qLLBcDgZCm3dVpEZKde+4/vf9jc3/t5xj667cd3d2bl35rqfNPzpN74ZD78f8WQ80NAlapgjnu0v
/cud5/uO45+d+77n+ecufz73+NXzXGfH77zzM36iPV9zfs4fD57Hv+28A/+2OfBbvtrf7y+9Hf96
zjfv+VLX3fNp/tbhI/n49Uv8ku/f3/mX+z2f5vBxzmb9Z3/vu498CT+C465/w+/5w8Zx3J2747h8
LZ94tb3k4888j4965G/2G2ez4RO/eefOfn/n7Dcu37PZbNbr5q5ftuH7+bz1w9wjvznnTPiJbtbD
b3fu4X5zWL90c9g7G/fC9fg9Z73blpy8y0/nb3bcBX9/7q8/KD/blu+8cZ/41B1feri43e1u18vE
hVq/2zs/z531sLcuf/3xoP9Lnf7RIDmZpFpe4uSEKdfn12f+2Xqx/POX//j/5aPPdb/kOpw/nvuP
55e1w005f3z073znuOWH3t9s99vtdrPdHp0LfvqDe7bjUj0cjy+nenTci93u4HJXueSee33mOtz7
zeHaPTvjzA67TxrDytvm4u8DcP33VxNS1zaZ2q1D3rv+9v0ydC6dzcOFKzufXbaXnt1Hl22d+18d
KB1MGl8JI50BwaC4vFzv597Zcsu5qbVzyfD4vo4kLtj5+i984bl/49+s95wxzDjgdzd8w965YLj5
/G793v1+e8H/d7dcS+/gXr88NpfcEXe9jh7jyff3L4NxdzgcGC7eGXdq799d+usFjZwdd4xrzf3y
Pe7IGZ/F1f92znPk7S49vufjEYT27s1Dj+YWV6dA2UBmMa05fn17KYgzkRWNkCBHrQFfeGoEVADu
wiJ9zQAk3kurhcqNWIhLPnmlw3mnDmrn1UQCmk7bZfM9kuV0cqEaJ9F+Bt7xNGP8pq0fgECkA9Sv
KTOFAQykMiMDLqDFRnU7LdOYUDRXMBOT9JXk10DcSNIwizlQ4EgaOshJidIauQOrCEmuwFG6LdVZ
nMyKypIcmIX4tZRjX2zyqslX+IEMd9JIcRL0Qa0rWztT2/uRfKnooKoQaNjK8B41k7n5ihlEWUtZ
QQTzf8mxOgMP6Nn1Sl2jOBRPzdnp5LaAs9ZP9xrE/RLwwDJnYKpXrURkjLw2NRERhkELbtRpHKjp
GooJtsJBVDTjmbaxrXtSw94fr/pCYGCszfkXoJ4rUkiPQLmVCFuazQKPfHRMqcmajSrV9jdA6/VD
2Zi0m5BdkV4SxBrLaQLVKnsjRzaUg1QaVTfpqlqBnqAB4E5TK4rAT4C3XeReps5blaJwC4W2oMNe
uG12ZInSIekE2BVXArh8j76zomSF952cSWkehG/WTXKdDbQ+SKSVjV+GUSm/8qQW5E2Y5myfryI7
fTP3Kr1/OJ/a9QjEZNrBc7Bjp0LcQlMuqZpLQrNAX+nEyT8VagjunlyLBxMyyHfYC/j9zMYCekjW
H/jywZCT81nRM2Ojk8DSfhlyUD6+UehET3TWlI7kyYv6V9ENAzXCzh5ZS6h6EWOeWZbbJh0mw+2k
9Sco0jI6JuOkS8SMLtrgNQRIP6aWnV4oRQmpdSlTHd5pqHCFYoayBJZi7giCs8fsAWSNSnUW3sX5
QOUO4mGdA0UPyeH1Bmgqqm9niJt3OdCQr1TwRezl3LQFNwfdBzfLSzqJq+qUXF4yn25z6ASNP1tL
U2xAjCHNGBn2zygdrPM8gQbjEO0H9SFN6au42dh16Y7YqOmh7oYO8ohi58dZqmjlClGbv/S0Cilp
1uTaXegitNV92iKbh03RDvdQrMenTKEp4/QQXuBLxl1+Q0GtSe+mgZFCV32SvkykeRMtS3SK1ywW
lECDkenBQBAXKZKGwic5G4KFLboO/hLPEtQ8mQZfGdc2OG3qKzyR0J5XRD9xwhpVPWDTOShYtyJA
ESoeNCbhRLoO6aFpcKTtQnjj10pJ7LYD2a+4lq2YFo2hFEME1tVsm2OPgjvfJFJeyl4wKVrkNx0h
ks7QVbZMG8iEFrOodnUbWLn9NZFj9YcSwK1BKccOuy2avrhoxpFaQgPdMHNldVrF4EFB9lVqk4cQ
g+G4Wmo0cA78tLTeWVOsPtZlYJHGRQxKdEGyUnFsTCQ8jjr08k2xSCzrqH8mhMYaufjSoX61WYRn
ABJHgtW+tGCcKBzU+hzvSCmm2x0DWAJG16/dpJGZhdQhsosuqB0lo1dNUV97LchCYLQm2QHEdNex
7VLOCh+oc9UPfQCabaX4FdEmJC1U0JgoURig0oq+23U1kaSlNzSOyygO7ugy6E6b59yJpcJGySa4
WvgbayQ4I9TgXgIcN5XZ5WEicNEgfA4U9lT+UiuicgJAVKgq5GW6o2Vp/AQwFNyj3re7fTiju6fQ
God39qDFj4iL6/vGHBEpauEs/awRhz9J8GVpDluydqvjTqmdorHjHzAWJRSGWih9kXkan6KUstRG
wH84z9KGalqrBDll8QFQJh3duPxiTtb/Ye/MstvG0qw7l3xHLPTN4w8CbEVSEtW/YEmWfdH3/XRq
CjWDmti/IUdk2Q6XveI98yEzIm2JJIjm3vOds09IsaqtN/WqMUXEpDLungPuVqjTYmD0UoMQb7Nu
yrxxbstb6ma456Qxw31TT1FTKoT1U99j7l4NPEcgBGa1Xa9NOg22Y4WOBSeq7jFAgHIq16ViU2vQ
V05wD44mAHkeJ/ZnPTWySxkByaF4JWCcYcoMoTZRVQ7bWpoEVNu25NEVdXpwipxS/Uy1ZtMhqAYj
UvXSpzt0XOU7ECPGvSTjqV23eG+QfEs931uqjM7W47J+zMXCodTlqjtRR2NWO4wqFCdQWr8cTdjf
uFvMOEIMWnhUAbMS2VdLSacjPi0PU6JVT03Yq8wxSKAb3OMb8IEGTfEgWNIGH7Cwq+CAo9Wo9lKf
lS3PNXnUXWXBdxoaLipPw/EBXsQ0FJ1Kjh6oZCabRehJtiGstTnG5oOlqDCbhzHVglPSgdAtuV3K
blR1deCpXdS9MvXRnxplIBUUlwgxrqGaCQT0hY6qhQpQF5m3tqJAL9zMfWFAtJqr5l2K5rRyzZri
NoiiOUUUTlK2w6ovmdivHEZBCYAgUDCQoQXXT4U1NfMqCtg/ceMx1J2cyJPPowtFX85DDAABkM43
0aMAufJYylgueqAvuoHI4yYmp9sqmuhv8aaMO81KRjsaIWPnEP0HUp4Jt4o4SNaBFXW3UujwpCaa
A44zj2bT2ShKFYGJNEsj9ZnJ1mINdDLN9wKqceNCtYtzGGhqeGc1E3DCsmicL5JD2foVvyq8i20e
GSurlYruGGMhPddwaRBcnZr2xHxSi3Yj8NmnlNQZ9ejDWaKaPZgzAdMLJZyhnEr0gNFFjZVv6jPa
lRqGt+q2MdSGera8pvi3ncyGhiABXQuCFjxSypQvE1PmYM3UWbkPOJGU9TDE9LWMwaNDspGhZa7x
IWs1Tz4BHrU0byzm8H6C337P2DM5T3qp3dBqXW44YfsNbYqS7aVUFObrBBRzqS5feYsD+8aW2MC6
KezqcSWA3F5o6k26Ff4eWr2CnFOlDKgI9CYlDF7ikt7utVlL8R65uIeVWxDu9TO9GxC6S/zEK4qv
YV5C76Fbgo7sNsFnIEOZzaOJ9dIUZsJw7cSqn2or4ZmJHYnTzOLiU1Y4xYxTZ6TR6M8NZ57LwkN7
pvGJPr+OGs1xKjjrQKzz3eN3P/bNNHwuSnu4mxCC7VUJ2w3eWoJKvRKc9VexXacveicn713CfMST
TGBGsllPpmtWjP1Xg+wgaA/UM/e/WZZ/vxNnUc5RI17Jzn/JcCofO/Vv9idZBeskC60nOhsnr9JY
B41mkvzmRf4mmSwvgj9bo+Sc6J31g46RaZHO3I+nD49Ax9cqzdhrDNmYydURjLxfbzQ+ctS/2nL9
8Gq2CArJYsvF3obNFNsgd3P02Dqz53LZK33dLK9+t9NbXIW/etUfZKFAAbyFOfXm6L3coQWwC//1
xzK+P4h/27L+yCCZBdYzY9FM1i9n4SMhIE2wm/zYiN/yHz4g279FgRAuO+b9ly3njfvF2263Xwb3
5vIbEUdTlk/0i0+s/+CznK1pIFjIHvqJjerxsl0t20v+wTt7q8Nuh9yxfUESQO1AMkFm2fh+hT6x
Xm/ZrB697SKjeE/rzXr94u3OZza6fJjzrXDdRz7amv0pO2B/j9TwhOyxdz/26bvN7ry7/bwT7ufb
5Ze+3Z1fIvdudt+Eu2Mjj3x1vuVfP3/mECGabFenyx5FZLu62V78y/YLW2ZkE/cOGWZ0XeFu0CMe
r06nx9N+69/v9tv3yw1Sy+oGPWXl+xfPfb1a9sbs4C/oEK6/31+tLqhPnF8echCKBfv63foL/4s6
xSsizmyPCFvHw2rrn9hjf/zFhwv/96J8XLzDzdOT511W7785Q5YN9K++kB8yHkkhIUYi0aCCHd0n
jk6/HNLnzRr9YBESfL4R3uxh0QJuUKt4979+B7+TVX4kAOmQFIKYU8J78u6QurgMfitEGd+r5X+/
DpY72rd3rNZm6recducdYsbqy3YXuZxEi2yBfnLmwKKS8K+IH/yXi0yIFMKfntd33t3u9ug9FRyV
jft0eFvUEK6g88bd3F33y/FBdLnlRF1dfDQTv3T902vs7jm3UR1V17tB13px3Hv/tKg0nrv1fA6k
u1+0nd/cMz9CJb/6Nn8Q3LK4bnSZ29hxfX5ZLiwu7dXrou5cvn5r/5ke/cvRCCEtWb//e350W+Tv
//PfefT67fjo3z/35wDJcP6wMMhD91F5gvGPnHN/DpBM8w8bdsgCECHtpDJn+vcASbL+cEyHTBLq
vGkSzDC4g/41QaJAnD/TGO2y/AU0Zij/ZIKkMBb47uI3yXwQw1ZYp8nQnv+e/7DbnkG1Bu8IX9pn
u4yLnRmV3W6INFZQTk+nRIuR9SgS56BjUfCzHos46P8O5cZRnvOqbJ/lpmP00yAmuLMe4mTOQ2M/
U0JIn1ivTetS2tEnkG0ys0uOmGUHNq6SYGECj2LrmJEOCpfSnIdIZc3Skn981ZCWmG0X2nMTxeXa
EuT6orqaNnZtBU8xFALIgUI2Fh4rGFSWm3hWjdxhYQZWtB9z+6WGC0Am2aIpS0vtTZ6qORZ3AEWv
UC6G66DKG5AQYohf7DYd1pKTNI+RqQ6AKm0CfHx2TburI2emuQEc07oNFEpXEsU6dblBu55jJ29Y
v1NcZfLwpFX2AGEcgOPihELLyKKJlod5D7NNQENKxK0Sxzv2RPrKaO3sjb7q3thSMt68FRhOOx/f
rfXUq101EEtvEC7grvaCZd/QcVRCYyFKtk4QbNQ814w3mSLp99kU5smpTLvzRyeQBr8TTfPYdVnx
nEsFnhEatNfK2AUeCBn22NRFAk6XjZtKtoeNhQK6klIQPEVsJwBNm2GLq7Y+mkUfrEMVqr8bS3X4
JcmH8b0JAulBkUw6vxnzs0WU4lVcB/E5GHWUGEtqtplJh0RWQOJuQzPcUwFzBiF+AVq8HzHWaWBr
6yhtNnlOwRm2Pt2leqbyKyvuHtmY7yVrZEuVWVsHWWuVqwNE8bwwV0bHYS1HY97nQ35jJPyhRAqr
j2EdCyvBJcXZRSNykq9r/RG/x0qRmld7KA/qnO2DplFuYOl+qudG2qR6fDtWgNDxjyqbYZwDf2rw
oJcIi77sOHi9TSvlF1iJly828N4Y2g4WQgUlgcIGGgxToWzISGFZCMcabuTULW0yhK/Z3IT4wSIc
R4eRnBClqLiHjco45lKJgSZynEcORvIEnz67wZ0m7UJ5THzaG0i5QNvTYBf3AChhttucAT28zJA4
9ZM8YH5q4wAXbB1juS+s/DrW+2BXCjHeE7m1NkZdayeRps6DDEyUfato+pNZROqeFbP0MOdTe3KU
OP0kx9OLmbXYXRwEY190jfbETNdYkwtXzxh7aDJQyrDC42M3O4o38GUGvU9PnBe2Ck6JJY/t4462
boiLTgc6WoKbvMpIUOb9eFZ1qXxS8+puQtG/bm0Uy3KVYYSW7mqo9ZO+llsRH+hX18DFF9oMhRdg
aD0p2j4a76U2eJSSpnkuRlqDZEBDa5qj6fAykOt0cymFiig/iVv+4KNHSU+Wv1csfUFfi4Ug5Pts
+vDlBh8M1Q4FTq4pD0vw2N401cJtxSf39FGQNaiUVYGlokYpKWFDc8Moteev3VVLfVJByeRjUyx1
UK1N7VZNs5cs6HZKFlqsSJThM6Zsiq4WWm2R0N8w2DLs0I/uJXOKEaG71MRpiXRRnmLS5HtriODH
ZmNKhJjtTXCltFxkbiUl1PsN6SAvLAzpS5LBXY1iq7nHD9duWzX0GjUB2F4125kSuf0Ya/09p6l0
Q16y26K0ZjsHLORBbWkRT4ehOlu52tPkASQN1x6sfqqHUnSk2KY0KEiw2pmkWS7w2KN1Rbqpwg+a
VFdzH0abmFnFtrcayx8ro/WMqFevagTRsxXrb3HuGKukFfPGnsPsnc5R4yWNdLz7zcJFaoByewof
mObRqBzO8ALJf+cUa9MXiOtsLJv5tcGazoWkb6Nwiq+VXrHWUqCka/mjyK6a0tsko0vNDkAkfz32
Rbv8fwZfUiwoVF0+UelTXTM+SuDsdpDPk2ZNKYt4t2vsU54wDG6Z6jyp9PvQ6kJXukHJmlB1vH7E
CmxqTiEC75J54HfSMZozEeH7ZWtt+wV9VsQvnGi804NFh9ExaT4OCi1wBEDVZ3rEOIVmad42NH9d
kmHS75PKWRjTOVBgi07Se2zV5X7MrXGbL0Vz+MFLXIf8Rs3Iqj2s6PB2SCnTs+cSkdiyMDHK9YS2
pA9UxuHjghPcDJxNoqrCR+ytVIbIWZdtvl4RCahFV28m5J5E4yPJ89IWpgHJlmNqxITV8fG/vkWW
ItSRFV39lBQwimOnFu9wzXlPEz0J/kepmJzOOMwAlKNXNIWs33cIQ6WXRZ39SidBvqcBXEc25Url
xFdxTQ6Iu9r640oYymZ8GypLI2JAZUOiEvP82o4IDIb3wm3qjpEZ/xREfbBJNBr9dHIyd3ba8/sS
Iq7gjj9+Sq74s6KiK56LPqY3gdCadACNzOc0+DUUqPATZdaEfFyFYHWbr/hu8kueRcXK7Ar5uccr
DO+ffIenErj2wxYLsK/SB8r4IOPvk4agmKqWNWL7fY7rfF2T7sLJTNBj2zQJFQOqtCT5Ok29Uhx4
7lZeLCJqUVo8lKNhjRvQvjZDKEVumIWSP9ZjFa5ijtNBo/odVy+C77EMGP8YNA6VkOjL2JuloNmW
JG0V1xJVscrmRH6ZK9HtJ4IbvpRM3V6eNUqjNKsnD0Gs74aKL6IxIMDTJwOmugBmpReZa8jF8GRS
UPlghcz76imS5FVUDFK1S2fL2tWaFJ27WC5Mv6y09rnJTaqyWC2Ne0ass0WgLc63Qz9b3a0zYPrf
ZINk3lVy0XiCv+YpbY8ILsH0/Gwx63hDyHP23VKLldjDM2Wm83XU98C4m4DwXcpX81jN8NONOLZu
h1CVYxorw3ADSEzsAq46llSRrB3aTLGPZRZbTMdiIJK+rXWBSyQ62KmJVUo4aO34qmPuiFGzUmnA
anWtcytuLxu44ekDICtlpRphd1Sa0t6LUAQbNM6y9fSyw+hepBRLoVwVviQniUv22NjmMc9JJS6d
tzkWjcypWzt7YON0FbVJR/Ma86ZQXWeBgkF7qInWBOl4CTq1fOjljsdwro4sYlEtV7Hg9oPInFF6
X4OgU6dc2jMPQO02eE6fZmNm1Tfr834eZfuac246TiP0bqUAOoP/filyCuDkELBr5AKtNpIfOkrV
MFN1HSUdI6Z1nzBkcKNj2tmJvhebGKqKcA0aAHo8+k71TtqMmvKeAJXVaXSqlqoSH5WcsCiLsoyV
rqyzcvaLSZPu+VfxybFT7cnEJNh42jBb71Ra0c5EL6T9mKSOebfo+cfKKpw7hQHDpiRegEc+rvaD
rEyXDqf6YsfvCZsOYfnI2Mh+kMLeeYd9a9oup5iJMp4qPEqKmPucMQfhGx5ok/SuktN8rtdpeVdq
UVbvMU5LR6C/5JMjpWnegjFPrqZUsZh7SHxrXVO84fKqVvM0RMeUUgZ7qWGotLdeD6R9y91spc21
usMWYK3n0XTWpIyK46QN1mfrI4RBUMB1SJjv53zo6QfpMADosu3cBoZubBt6bM5DMmbcM/V4DziH
NaYt8zzIBpD2akkOzR0GS75mlpQx5sudmvDtxKRtMNOTRcesavLDVChdGal47fldV5xc5tZJgnZF
2NXZYOzGtD0nFNrN8tiuBI96V4s0saEkOVox3o8OCC/1CsSJdB2wGmBMZg+HRpHw4yvtcAOIBNOA
PNi7rHo0Yqd74tDXPEOL9JiZVh26s5Dg1E6z5Hd2au2jNle2dpG+qVImbuD4t+6o9NluyFQiCXiz
bwaQQzT2yjrF05paXgWhTTJ0KAY/ZEIA5CZv1kYWjJeZZIifpMF4QJXN7hvYT54CFuEWpj/uhYz7
NUviWHMLJ5j3ljDkm6C1+ytVTWljLsTbQN/uNXNQeyQ1yWqhp7bqFIV6zQpXlexVENSKl7Bt1Fd1
LWSPlfRI1IBNRKtOAU8olZlyQvlJOku5L8vxuK3UoTkbQ5R5s5XP71Vdq1vFEcPeMHR1bZudxArJ
kY4REakvy8YudKlWKLhAyuERjgmufLPZmSUD/Uylr5C42SRebV1wOAls3taB7JyNAFsnvdhZvSMM
1B9kEsZbbggYMLKAgrR+dqJyo5rcqg8FZsKXlJrKbGWpVnTdD3lWbmg0CN8Y2kUHXY0pLMvDnuew
VlJki0eaKqUoTfvPczuHZ2ydRGeTgK6h5UzUxz33Em07jqN+65BvecEcMTmupZV0SBLjvpNsmYFW
DbqaCCyFe57VOvYu6XRMADnNJA9Na+mf6xL3ww7TQbcpVa3wR+Z9e6wmBXbsuNfHdU0OHmq/Wsqf
OyckZsrdeSoA2qiS5lpUO72UiZy8FtbQc5PLOEA1vpmF+EkxuFIU47Fn1rWfo0K67wtEgW4KmGkl
PIlWSWaS+E7GODj1bVCdsLAIX617WoES2sj8SA2aFD7grJFopBH5ZQr74VmQG7vkvRWDo5ODi6PQ
YQ1eOtAeQoPeRX6fbHhTTbPgynQclRUI2eB15lTdlaRGtg+Qg/JyGsFDwzX7SLtu0q6lzbqYipcg
MXCvR7IpUDFEfEPQl7FjrNiElydwW1cDdW93/RQEL9ripkhpCSFFbZVnPOcQfar0QoZJOeQhqbzI
GYJHw7DB/5daxRNDySOa6xrB3NWaadJY5qXbOpUFpBQa4c/ET8abWGKK4krJKC5FGCR3wdT27yM3
34zi+jEmGzNRRs4TQtIKbgNJ/sTdglebeWRAc8sc7qrCSCnJVYqsZ8eZjG8Y3ikutzoUgpE6zZ05
p3suyTL0Jacgt0TEa6y9qivld1bS9Vavympdskxne2SojA0bMbY3ogkIZw9KoD403FKOfW9J3ijG
cK84dMhG5NLlzmCCl5ZjvgmNSife2Sj04qkw0rh46usRfWtT1q24VmQVRlCg5DqXmdG9RTTP7VhX
a5SLhaQkGeEO1YlWlHFtalH91kmtuJrjwP4cFmFCRnNqjLMlpzwg+zpSTmyt6tEbqZOk56szI9xC
MTmOFQ6Z6DAOmrNhyA+VcQw9SjBATk2lc2BKrqp+T+ruVtRy1a5LHd+IW7M7yeJ48JOwkG4LHXC0
zOiZkHkSHVCOJnfIqJDKxB03qZsWrgXzU+KVEaqDmUiaN8WT7amRKd6zJr2f1MkLlUQ+ynlbeQne
qGOn1xQORoFKd7uerLs2MN2wMm6HJtxJZeU7Nkbfnts2uVhXUsObWZ7WmTR7eR19GkblKIrwzOYY
7m0S+BYONRrjdkGUJF5g6o9hUW1mWb5rGvaJjt2t8dM8l4F1qEtawCYuSyi9sb3Kw2k6qk2tY8ZA
fYCi4KZUK9VqMm8SA1ZaDAhs9uop8GoCHevFvXIy2mLyKYTTd6neRo81SM8XpVTV9WDDM25wSO8k
WwBnDLRa3850KYsVJSnyF3AY5YmzlluRbgUPfSjme7UYUR2knMohJbS6m1rr84stWsWvcpkE/Ew0
r9Dnu7lXDlbWtKs879lr4XD353TQwTEFT3NEiHcBxW6SsbMEqZpYXePFSo5jM7M4za14JzK55unB
jjMEG8jWfTBv2qWlGn9Mv496OC9OJk/tJqzz6lYqlO4dkbY4adhMNmM41Bugm/Y6mSZSJpmtHYj9
TsdSE83JZEhN3tHurUvdm90hCa2Z5eRofbLSsF83lapQZk681yQTuM8bCqUYSUdrR5/NN0mhwS2x
ivSp0VTDc7Aj7etQZzENOItFbmI+ajQd+FPfz7s0D801voIgdzMAATeNESsnvZQ6X4Fu52eDY2+n
yWzvpWDU1h2MiE/ZSM1PVk3OeVSZP3OWMOCnF/qzPGoUYTfJ0BxTHBEA3od4D5jEuBqUmFg/2ctx
k4YQMmRuWz7hG/bE07QU1MYFm46w1b06lpNngpjpGiKduM4lOuvZd6S+Eonkui+G4NOotdI1uqbm
E/dxbijO0a7pK6vWJkvRbRpIJo5B4qeu2Sb7INKfC+qFN7nUGX42DuHnWOALmFR7utWMhhMpLSVE
1KjXXiubIzdqZbArhgjfxyjXF+w+kstFwBsq2tpTiKEd7dLq3JBYoUeZr30lhRLd4bneTd6CWfSC
wI5Xhezg8lOlkmt/HlSLFfE04xON58LDEliu4rwkJhmGuYIKN81r7FLJlZVUghuK0r91gUqoc45K
Xyuy+S12UpYlql4eHbOXt9gepQN2ydBXzVz2LbMbDtMshh1acoMnkCVqRnnRtjWr+WVEi+U2Vue3
AP8pzCyn0a/kuL5z5LxaF7bYsA+PD+GAIxEpCjhGKjrOXTz8LDJ7xZ+ljiMC0MJqidYxKt9bZYmC
mBctHbGE7ia8coiUmBLzVKeyNVsooE6YwDPhcUfHFLQQtxWaeByn2L6YktRTydXRTlsQ4D6LMoxO
MRGmwQ2dQd0BeSnqr4Op/4yL/qXgc/zVrOj/Za9zkb82346Kvv7MX3Mium0cRkEyTyYZLu8CHvxz
TmRpf5Ah0hVToSeCnM/yR//utoFfY6kfpFLCF+YyNf1rTES3jWLLZFkYH+lU59n/ZEqkf1DX/nem
aGq2akOogobGhorU3sds9ZvZqY5kWU22UXmtmfUPYdckS8Epdj71OdEMtindiJ9O8caorsdyFQAq
ASvQSZJUvMh5Mgw+wxjJZZdMr2MSxrTJJbU+ZPARzTZ6VSph7JF9eu3IYgH0gpy2VXk2iUsrB6JZ
1XgtsX4Xu7FWsLSWi8yQpGMpYbGTBy+mrvm2XZQJyi6HZFM0Teul9TAWgdvh5bVWSlHV4Utuy5J0
i5+POQ65RtUXRVcySGq4Bg6dM8kkibuCX7LoM5KStVvhdLFHs5RSvlvoLTwqpDm6i2QE9kNTkgW9
YywjKyYbTAAKABlVVb+SiDLf9SZ4BbI+SY3cpS1K19w4OQyihEjxtJHKVtFPcADyfcwNOHzrTW1x
iHUVpWe10WYbyVzkuyKgtteNAz4xlItFAaTUL3zUPmRBbVEI66QJHD/MK0nb5x33Tw95nZkXzqZh
oQzpxozruIeYj+lTD4eu7W4zeRTpq4SHKT+MCM3BUSop8eM2GKjzbbx0icNEt8Q6IIRY7bPaYgIl
qG43bxIStOHnajS72TUtopyuCh6/U1y5KpVVNJd1/Daq5FvXncoe/mG0hYLFNmUylO2arDTaN2UQ
HW0CLOY/IqqA8KSB7kRgFfr8iZ1VGc/vU1/1cuVi2tb7NVjDhWAUJaOpPpg9mSNXz9niEtHsmvAN
pcj2eeRWzBOFspQT26zhM/NLpZBgDUNhHSyBCBubZXZp5ooq3SFTPjmcqZS3zqmh9bdUsWjtlSE1
erYB7mUpTOqSoMJSD3Vki4mqI4iO5y1pbgh0SuaNxAUZLIO9tA5oryRAtqrHZooPRVw1oS/3XY5P
vxrq8bEZpWoPFUaWnquGrsazY8698YwbzGS0GIdCvTIKUxu9LqG+MHXrZlCbXUehZPjJCuFfdYRu
W3VgutTFPBDyxNTOrNeQCFeyLSU9VtWoBzL6DPOUvbNj12F+ZN/VQskiZoo1C28dfMjQpmNRt8rw
DlgoFfd5FLGZXyLKzQUHParPDNGperQEyKz1BKjMrdukjDwzU9gesvFl75kj5xWuUMOCQqM8DdMV
JDJnNVIXWjQrZV7K7kSkhKsWqqYeE0FkueeVqJjVtdo28TlmKJWx5gMhpr32NAlF9JzKWjicNAc4
/SYFkUEhbCeClajZtDdKsXBGzBK/MeA3Y7xqkhJ5n0Qw4vCgmqN8PWhlelsUzpj5OKYhU0EgoJGO
YejGpm9JPy2cR+BtdPue4kFulJWW2EYqrRSwYkbsTb0kX0E1slxBt+AajgiwrkpnbZWU6GyNI7/0
rfnqiKrrz2ptytAsRsfuvcFmSpOLsu0WwUimXYBJpLbW02VkMHT4ra9iuIp0Wyn4Bsdr0YxDzZ6h
ANRRdHDoHsBeh+0KABsziGFIbeVKhH3Rbxulp3me3qPlLoCoI6iMJJ1yVShOb/rU0i3AtoqEpKv1
kjS+OE1Yjc84XkdAXgKuy0oMQdy/Nt2YxWsi43Z+PWlRGV8Lo9bXjCEa7YwymJNjYCSIrKDwprnZ
TKKfTqZooK/kliL2FUWb5qOw9bI6yL01aduytzGAm9kUvmpFws5nYsEdXcmMpTh9EyKJXeY1bDIH
T4SNZN+ZDiQFDPmJidrM6FaNEdh1ybRGpLU67fZ6WmrDNXs7rduFoi7yW22iYeo0TMGsviBWhMWq
j4aIYiHsvv20iyM6W88qBnnOzh5bOig17p3UAxIv0Hm9z9PQp89zn1qs4aRX2AbJwRFzs7XCMffg
eVrXJuyz6FNiiS58pOBctDsHfR+0VOPw1bsoP6IVt+iiLWCuQmuhDUVRVF2kANf2U0MmPt20fRxR
PDg2Bjy0yq4kBSV8TgXaSO18StiWxKMb47UfvdIxIAfiDGeK67RTFG2VeqLYN6Y2rqBBOZzfMlpA
GY+lTnFPhgfZpUnmCRE+HuZ+2KGlqdXzOBrq1LtGQTc3FIdxojqbDHytQHDiPXdO/ZlH9YXYuml6
JoLurYUVe6Or0mFSxB09b/Ww6yZj5i8afcgYpJ/51pmlUqY8IrT5gTKBeOJq4nzU4TUlA/i36g3Y
gix5ZjJF88Ukyo58T1ooUreED+zpHgwUUA7NzjTmJK2OmR7XfDkNmavmWu3jaAYk4rZZzHqcqU4B
wz1wSuvCTb0Jnmp7xA8to1xZ61BnP4m4SUk3j4BplKXWd/CC1g9xq+ZUp9qzsfxaU8w4MgrZ0EDt
dE5ZjA/gmKym8YtOsjgjckWOmx315IWz0q0uHk5JoEOUws4cIguQx+j8qKLebtOZcfcUg+gpV/hl
MuVEO7F2a7Oqj086WBCrtta1rJbnMtel7pMmnCRGG5nYo+CmbsJDapmTONRspbJLX1nt5OWdEGza
GJ1bD6HgRrstp2ax5KOTHkpsGIIgQysb7CnSYpvMCHA7i5F+s9YsXCGqi3ed5bmRTXW/Dh2+RE9N
7fLkJFn7Ho/sOXSQao9gZJgnJj0FzpWWb40O67KjgaRcKXL+FhGT2Yx4pREV0ff792pqE5ACrWx2
aHiawuomp7HwQJwJcwY4g2r40lpaVWzmURh5tBF93a6RuEIXwltO9VDAUsrclI3cwQ2UtHmRXSh4
thgBoAewx6yA5JEPmKuAPI2TdtZRV0UtVf5kYCLfd6ifGr3TWm9zhklDT/eyY83NgcdtdGsmmgY+
ibfD3piZmWGIM8ATA/SbqyK+q63s8/jTMLhD/wfsYT2nRsu8zXc65ugvamxISfbVsvqfncu/qFjS
2VD83za342v9mof/81/fUxK+/tSfmxdQCOARbBl2BeWcNJiQif2LkmD/YaGFQnCVFUPBCPe/mxdJ
+UM2CHMCxwaXAIx18TH+tXtR5D9UU17aVvCWkzqhNuwvVMT1123JV4rFz0ssf8iPUveo6AzuyTTy
Mn9HmKtxyzsvEKNqfBYzC5IoeqrmKUPrKAP9ukp6VsiEEwlIUMiMX/6bA/bn2/k296987/Bm8wST
1+LDWOaS//84CN8aTzXwfDBSZZDOZnNNa1HChM0hr8dETPH0JjQuCWGHgfDD0LRr4DEBXJOmqe7D
Wgck+ut385ODQdOmAhaGA6uC2v7eBaumsDTmCmJmUi211H3Xvg0m+b1cHh03nYLk2NgP7MfCf4Yk
+HoQbMa5JptcFlt8298eBDlzUqMqYRQbIKSKVSsCbd44vQJJ89cf8Hu7+9ejzfqcswoTJ06kH1z8
WZ7HQccTlZVcF9z3zKgsf1Kc4NBiM7Q2//zFFiemjY9SZl/8g5WdSK0aSi2x2pk99R4DUXfCxSd5
sBiHu1+/1PfJ84/PxSXByxCFxlPq/GDrVQLdmKycz2XFwHziVpnu7dbqNwlt5tuYCMHjr1/vJ8fR
BIjMfp+Fmo0m8f0XlupSRKgND6FZWPYCVQyWQR1dqfzMP//KbF0Fu7t8NIrnfnipyMxK0bRxwcRW
Z5tLPAlDgDHn2k5Rcwqefv3BfjS8cjna0PJRRawluLLck749E3l0mqhrQEuULItXQRE2gDwrWivx
fTbqe8vzVt5UTLV/E3z42esai8ajkG7jXvRD0KNrB7yimsXrgnru3BHl8qROtGTWeRTeD4Ve4EsL
pd9g+3/yNdoWmXoY2rK19LV+/2l7GJ9ZK7Fj4zSdIMhxlZcJzhOgfeZvbi0/OUNZEfES3LC5Zf9I
HZm1obP6YYlPNjMd5d2sbiazt7dk8mJvyIV09esv8mcfzUb+MrmXwcD5MTRQDVhoRhtds2h0c6dK
s+oRvipuZztKf3OGLnen7/Sv5RmlafB28GTblBx9fxR1s1JbMSHRyyJKT3TJz+xIjXD96w/001dB
YzNwi5t0WP5wictZiWphcDepYiB98AvsQwjk+jdNSj89bObS4ADxxlB/bIHBs0rN1oQ3oUqNETVZ
NtNpq8fUJnr0qsvVb26RPzsrsL7qsq5DxCM5/v2hk+XZrLuI+5bU/n/2zmw5biTN0q9S1vcow+ZY
zKbnAoGI4CJSpCiKom5gWijs++IA3qmfYl5sPmdmzYjBaMawrsfaKs1S2aITmy//f853hrtpWG/L
GoUzZteSTjMg2Ldv4bHRCG4iCItyJeAbdYv/KFRies0cq+Hj7pY2vqjSztr1eeye6/PcXK4Y4U5c
3ZFHxoyMSt8H9aSKty/Hy12zgbTNtldOTUMaZqLTNIhrIzqFpz/y1BhCxR35zF26fXAb58Y2kiHl
O57p0Jao8nxwkrliuqdUF+7efRe5iYjveQl9di8HUyQO97kaYtqMAG8Fqkjdb39WnS0gPWrEgJEb
Zyfvnx1ZsaFYoQNjgjyMF1lrD5P7bCLVoeu/geMd2pg1g34U2taO0IbMsyHDty/z2D012BbiUaWC
D6/r5cNL0N02pQbHw+0LAByEIRelhQzRNk95C4/M/f6fIx3cUKch8LuDCYmpwJfZjmgP6wvzNdZS
tDd0mWe8lst2NSvnVLTUsZHhpiBtYptCl+BgTimHzisgytH8wZ2+h9Ol3UDz8MNW9O1Wm/3lAvJ1
9PD2jT06KMIgT30Zyif68sZ2sBeN1LNoRUruZ0ro7325OPcJCM2d7rTWjpa4fWLMl67C5/0Rj5AN
tqnOGuLQK9p7a91nVkcXtWqRhyTVhd/MxcMSJdnPurTKb4JucSg0vTs3Jcqvt6/49bYaIywfCpEj
mHb4Ul9esW7X7mxBOQxG+va3o4lbvki6+Du1ovEKjEW0Bc7cqzL7iUXw9QTEwByeBHx5UmMOZ3O0
kX46EEKFopCIaHA15CZYmXn79uW9nlaJFnEFVlyXZdA9XGontxpTmMOk8sBU/RavyZSEA1TBageM
tv22FML89faIr2+oCjNRHBvIYoJF8eUNTYZSS/SOzQSwfaXAc43x8+IukEM7cvMIFVdk3hg9YoBz
KB1PzAzHRlcbeuY+m9RqdUb+cxmZtFpPDZsdqd402N9draGWAWACGjQYltQgHJAoCZAZUH/OJFW/
p7ev/vXMhMOLF5kFk0AZ/vFyfAcUCztm5gtzzq1z/vc9b2xI0FSodu8eiRwsdgFCDcjZ7OVIHCOQ
YhUsmFWEFi2cFzZ27FAhUm+dSUGC3h7u9Vdq8R55TPFs2bi0g2Wsh6eazUPPymIW7S/WEtzzWR4a
eQSPaahqeANL+9hIt9lni2V/eXt0ddtebuMY3aEeyD7cRZp9MOEPo+PkY8/odG2yS6PByySyynz3
J6lGoabB4ZPgkMM0IL4QL8195BaIs33ae/b15CEe/jcuBVshX70LZcE8mNd78ms0PF3cSLk2N5SQ
IY6muo5e7+1xjnz5JJiZ5FGBlqHIc3B+oGstSlmRphLTHg6xmmV73yjjc5Ld5wugv9q7d6fYijht
ejwg6pSH4/WxudStekSalllb9H7FtYgnuS3j2b55+9KOvYtssiEpmKRScaZ++eqXWapz9FpY/l3Z
nxNKYENosMvQXGRx3vSdfoFuXtyKLmse6Tk2Jz6FI3MM6wRHF88BpIhE9eXwooCg0enswyPVi0bf
7rc3NjJeQOaz2302TYC6gbDT9rMNX747cfGvl2gmN4MvkVQ7j+LEwftTa2vD71Sg0Fpr/ZGHkTpo
3PkYN2MSFz1Z83n+CfmV+DcmHAYmqFbJHIj6O7jrQ5r2bTxxHliMtqfp64nzCRfRV8Md8xPbWE70
Bx88h1CkEy7HalV+Y2vw8h6jAc5Hz1xEQEsHckvmtuI7ZOwZx6A7lHkg5KwP23QxW3PvgFy7rPVq
bK9S1vNuN+CjiPcahNjfM3PZozt44HjJKarXXWq23lO1NIuKBJAziLSmjM6LWJ1opjLpUO3rMMZJ
scC5mLK+dcEypkW0cXVp79N1nuBMQ41eAg2RqLst2dvgQZoS8btfCYsAIQf25Mzr+W0cxEtu2E2G
ICk2KvNfGRTsKGiaYfa2WSuJMI5SwY/NdHf+3jopHj+LNCmkPD0pMVk+r0ipcLUUgTFyZiLcyNaW
MI89kKolOUOXhqvHLQpB3K072y7WfedMhdgUGgAj+nm6GW+7oWtwsC4+styli+8WezURLXOZPwb8
GYTzyaLE+zq6GNUWH9WAyhvAJGwaIEqIGQLQzv6CqKJ0yS4AyM4OfYOh+rA6lXNtKaHnlgZ9K+gS
Rga+Xmc1rxKgckuAw0f4VAyBoCUjzqgQ6RXtVi+uW7xm9jhc6INo09DlmKABo4rlLeJqfdjM09iu
wQw7xURWNdOjcEHg/YDWQnMIiX3Z7FhpEewnZkNTxsA5oAcmmvHbwp1cscVUlfeBgZy2UWHKTb2R
ODY+jYvvcsjzx+E2Qeymb8zFHC7ThoOGMg0zobSlMV63BQp7wpcKE/agGPXP4HEGkyJ009zEidZ/
JV1heLAHDxdXP5K5FXpRiQvKSiLjZzZB8Qsn4kTMrSfmvA2sKhvw985tN+9ooaP5QKKNIM8xNGuT
dslI0EzfEPHkzlGOVqTM8z4kswbp+GxU80IrFp9rQDMevSo2Wt4Pu1VE8gySIgG9OU3FOK4MfLQr
bDE6/7FjBVWJfGzTps06btm8anStSYB5aGlvIzteylVDk1aM2HPmZm63Nll7t2VrJ0jgRq39FjUU
3oMk7tfr3EYAtTFpKo0B8WGCtqgf+Z9Lv08RbkNrindYanOgSMglLqEoWghsVx87JFDetsXFmI7l
pu+W/jNCmkmFY83jTxR8LdQ3ZP7f1tJNPvM2cBt0POeFm+nzV4yBsY83t/fNjd/ONkS6EibWuQWj
yghlLLv+u4wsXf5eyXzCtuIIqQUFaEGUBK4lmxD/YVPsp6o39K8lpPnvfdPBD6+RzDXX04gD41ND
ZzbfV2LtlQSl59yTkAKUbAojqru9dKVBSV1bLS2sCycqLuC5LfPZJJoUP4EJtJssg6Wzyf9p+uVr
rMv0JqlcH65z6ZJdSHs7H4Ox070HeD6usbWnUkO44uDYO9OouMGMWzv3o+Uuwvk4ZJXxuW0S4QYi
gYh0FglpdmE3osq58rx1Lb7GE0lpW/wFSX0zYMXWw1FG7a9hHlBA69lK/tmoeaP11PIWLbDkRbRA
AfCoys5jslR77qoDwjjTTOTWttF/B9+YyI+QjKryY9SQtXRVkccyNCrNDFdLUAmnzO5GxyOoaFkB
W51nzIBuUDBPufu2KtIrMrfnGTlwXmlXUjjFsE/xUAJWHFv9AfTjRHiZ7uPXW3jBiSOi8zjsG+D7
UpnakD1pMAo/DmKY/O2oXtKNN6Rw81ANoGMZMw11AKllSQxWcBmiL7lPHT3ANmTctE3TkojST3Kf
dSnp4mS0JB/A0sH5s8Zq0S6LpGzTRzyJWXLtc2Bf+Yvg4bdGJ13rjLXSjwI5+Ib8OEa077+3o7Cs
LekDTorVzK7qDVl2o/ZhyBbnNxkuPE8yxJpxp2OBoePrU4m7rehx95doZgsH8T7Pfjf6pvxtl1He
nZEiUrphvkTkKfdFpNTPupH91NepSfOAjdv4hc1U422I/SCPjhYQkIUS87Z7icxLKfcaMI1nKULQ
T6YV43UyseTUm7bjTBAMk9LQi2bSYeJHQ0v0TGFOxaVf+qV7QVHK8c+RNZSPblkJ5oasHdmmDHVX
7OfFnIZw8DX3odKo9IW9xyVtol7oP1hjyWdIx6U577Ae76WI4HaSN5A9Lb27PDixjK+cyEw++vpY
Kk9l/tEovDw/d0o4CJuqRwpEU24x112PlX3YlGM2DdduKfvuvLKXDIF+X82CSsay6LsZ++aEBRTA
Q7CIqq3CBnmQ3Bk6wqlwXZidN92U2fU5uwG4DnNX+OnGFKVY8OCTm3Zd6lNZnhkjC2jQJ6nnboHw
rxfwK/P8DPWQ1MJ0tdR/jLQYXioy9ZqguJJn02m5FW3rUusytG1zWjwUbm15+9FzGkRScAT5RXLN
YL/TEiKCXFl9DTWLkdzwvSYoWIakac+pcdh3EtuRu7VTR/I22usaMVtCM8PBzGAbIvDQu7Nns26A
+OnFJSbgSISOzEY0fgR3IHmmgwiogh3GpsEEkdE1hzzJ6muvT5FKe3PchuyBcuC3g+kaVzcG30X3
IRlIiev7mMA4+zk8rolblrFp1otmyzps4RtaIvZSAMWbhzrTzdvSU2F0iZb2n6RlY3VdUR1gLXyO
rkvjmPDEESPtb/ofhNtZMbWhkO1NPAeRZxXJXdn11T57jsVTCQt6YKu0PBtMXr6btAaG3pSYKUTY
53C9AsjAB3uFIkJJS8a/E5XDh1udJcfmw0L9Uxa0NorYg2nK1EWEn/0c55fQ4hz3rMEZxouSwD9H
Zf+5onGysJkGUr5KQTpgzudJo2Tx0y9e0neEPcUqStAZWnlDVAgBg4lH1iDIfZqo1XMEYanSCKW5
ig9pY+ZfpcoqHEwVW0hlInnk7SXMMFW5hnNUAW1txXPcYWWCxkxXAIKEdi6xheSzra+l0fnX8Pxx
5XBeL751TSm5X3BCfqJ709stG1qXUuFEzM3sqgBGvEaIj2aVyzgRmnVfEbbyuzA6+yJ9DnCsUdOW
odRm4t7iRot/Js9xj7Lho9mZHYlim0wlQgpykbDSu5R5+zRCrNPFg3RCKG/+8oG8XVIlS/xAYbMg
VEfVo4In/ani3WpUHmVPuuV0hu2gKzZ+z3yPzp3T9vVMgBQ7r7wk1lKOPhZx+B3ddC6eoy/15xhM
/TkSU1szcmfMxDaRtwQIryp0JPoU5Zu+56YH6TTzLsHKKPeQA31rGzUJel1JG78hj3Hk2KKhgiMG
XXZsPbHgJnVIfbf4tIL+4I/1iQi7CYWPdUbLqPvae8zcYRW5uPI0nGAk/hiZtYZC73Q/LCY2DKwZ
U/YdCIqS8eY5Maarhz6XAuPIj6194ljcOtP8wPQL7AW2sdq/Y1kwjiS3xrg2LY1qcpanivy4JMoP
aNh45+MJ9xCbVWLfQm2t+OlTZWH1Z4KY0/0zPmDoDX/dth2bDmzzSW2dGdA/7F1qDOxy6jYd2b9G
0+yfCXJHu41fd9GXxIZevWELBihxmQq2npi9tcsSl4kIE29pP0W9S97WoCFQ3dhVRyoaa0W87obe
rJpwpjH1YWkru8GNnjRy0zidq288ey7w/xnrUABR9lrvwvNT74n9nQrEjEz24wOh8J81TlzApGm7
oskkFibQ0zG9s9bUaUFPuz1Yi8m3Ay0lIi7Ihh5ZY9eDjw10Uol+I0P0lf/Z6rdePVuf8n5ar9ax
kF+WRjQLs5dWnnnwJ3HBEn6Ub5xSgR+yCBdPOUWOeT4ZsX8JDYBfwok987enk1GwWfFFQyFFgo42
vdNo+7JqckCItRGTHUBMFxIQiwCPlS3oL4FfdmLKy9MGrk1EIvBgz8Q5sZwlVliR6zqdaZAREWZ7
PX9SF0JCiQCbtEenhwA2J3gV6KOwecUifvNtnC8JgX3DrCEbF/B469VpGkKN9EVupMSnvuHltx69
rkEGajPp8bO1pDQDE9whulcAwpzBZjAlUioQEI5bXmiElIS8ZYSG82uN4/xDB0aRbmI/4VXugI9w
6NJYcdhI2vKzXBH13VheLMqz2k904D7D0t5lzghMA8Ar76aLunBgxksclejby6fObRNotj6/YAV5
vOZZN4hZK1NnYFn20UfgUPa9PlecXGrU8RwZXD8bN9Jf0bO7xcz1WDGawU0FW5uKQiufMqCr3DUx
J8O2j+FS7f5KpMzsjoMO+6rkNistgJl9h14c1Okkn3SgB/TpvYI4IzDZenwO6oQRrHUAl8lq53/o
Slm6H9xFsUHY5/pgttWX2kcStXBaoMzZsrVW3+EgxbSzytXbTfHcLqHZgzZ4u7h0UN2xEU2Q8WJS
X+G1pit+UDcTkeyGxnJLPjSb41ERofU/0+Oo4a5H6AhRKnEWs9EMzgQ+BW8P/ly1/aPQ+dfoqjFA
PgtSEfug0FnprSOoXJOlGC1tsu0MmO5gXat5m5v677ThbwaDI1Yj6Fyq2cYQVdschWbQlWQzRa0z
fD3xGx2UXl/9RgfVLseOorYrNUj7KMGZmpc45GRmskn3vrRNMbCfsDsOnXW8LXg8YZV5C5woxJym
jKMgWUT3oFm80G//XgeF9r9+LV9QgVMOGwBoLwtE7VwY7Jkyyt8l5+PAw1S7gRKuuoB97ZyKszko
pj6PRlmTF4Jaqmk4qiL5Z3da2uRiGuiFl0x4P+wUrga5kqV0g3QW848or80T5dtjryHGS8NBgYbw
5bCcWkVRDxHYY2/ZVuYNeFgVPWB42xifJMReMFxNlYyb2nJO6E4Oiqtcqk2h3aD9h2eIJvJBmc+r
p9xWpPCgmxbYzTWSb/+aL3H+6LdlCqGc6CI2kdh5mvvS7szpfEp6ghHefryvL//lb3HweHEOigKn
HOfZCp8QhV1QHAibLueEJiTEFmIivLb95ANx2L098uv3nZEROAoaKxy2DmVo/SLIBISmTC3B1Tmt
ZubHZW3qE12A1y8Uo/jwKUzTwS1+2CVj6NTyW75z4kKHC2GwgHulceG1Ut65FvGLb1/U64dKg5PX
CFGmS8vcOygaM/cK8ty4qBVZ6TeNZLZgzNtxTyAHDi1ielF5ELQaiGEMi3w09m8P//pjpQHJnGZZ
tqm6OAezmmdTMCo1Ph8Mp0gIZzDIo8W0AO3y7O2Rjj09rtSm9qF0HYdqC4l4BPZgzPzZjSx3vUWO
aqg3s9mfeE2OPUD26waiOarw7mEToPFzDHMpfeOoNQH3ZLEB2lnGFC9cjTN6l7vu9duXdnREC6Wu
TvuNXq71cg4y9BU0/ciMB+FF/oxIQ8CNAIwnEF2S33RwP04oO44OCKpSdTKZhBQD889JT7resOYJ
lziMiXCCheDGi8xKRnIIpLjuE2080do49vAQEdKHR/dLX+VgqQEUAN5pYsC1dWF0DwOb83luTzy5
Yy8jBSeBMoydg32odiNsW8Rkh/LkjMm/ldXaEg0dxy4sFuKqyxMT2UEj43k6VRl0XJTNYP7BNdX+
WIzoqHj1jbj8niY+KwYelXRamw/k07M1Yns2fXn7VTkyezJzAdFBKcniqB+8Ko6jIQRqSWSG1tVi
9/TSPW5xKDYYitoi8q6BiYkPup6mP94e+MjVqinTZFDEOZZ1sE7i3l6oRSJqqPNJ/9ovUw7ILI/S
j7w8xg/2XSUYfENM0YnP/sir6iJRtnxUJIzuH1wwtdg68QjhYM84eo+kBhkZ+xJjOiOGZtzFmOu3
77/QPwc8+Db8JYoz0ijo88dloW/IQ4Z1EhtF5m+NYYl+5kYvyPM1Rv7g7ZGPfCRM4SbKPHqtPGN1
K/7YiuAfHYSdUOktLQ1ZjLSEYgvo7/9IXH6+7Zq8tEw3Bw+yozfhDiMPUvnoLtphdDckYgtMVfZ4
Ypo58s4gsbJ4Xxy0/khHXl5QW+jmKkXJO0NzjFAjzdrPGN2KIM0s87apU9h3hn9KfnNkFnhujqOl
RAXOuvhyVAKtR9+f+EQAWYlQ72JIYdRb9zEYihNTwJEnRhIWahQD5QQa1IPVD8pC2Y0rFxgVph36
gzaHshWnhEyvR1GSE6XeVbI4xz94I/WJklzaoonT2mT8mMu82rpJNp3YHR4Zhb2Rwf8xd/robF7e
NnyRDYVkvwpst4PDZFRiY7SJ8+53XG3shcsRTDkvDu8YNcFp5kRRQ9ehh/Kxyya9DuuO/NUT88Zh
n5npGSEGUgILwwHKj8PrKWXesXfneJwZYHvmoCyjjBpTJDCUJaiHl6CZCdsAoiO66lJn0/lgtEz1
QT6Z5eiwzovqp5ebxGuIOWKKLWZNJFSm2aScD3JICT0XphO+dw7gt2aiBTnAQuk8k8T/mAOsybZj
yvkslFK3N2mpUluS+dvbg7yeUwXbf5YQKtHshA9l71iAsKTSn6OaKfKLiQRqG77gAICpIYkXGEDc
LI9vD3nk7XLZDLLBhfzFXTyY29LKQT1VcPawLGhIXeIRq0O21Im7d+TCXM9hG6WzIiPBOVgsJEYC
uJmgd2Kij4AOJu4HyIZtGLFNRBkWnxJVHr0qx1GuHRO91uHbXDtmNOVK4KgtwLv0ktCUnl3Q+78Z
NcWYrIPYTZxnEsQf78TMkifrkhNT0rraGmhFF6u2Oeq/E5v51/O1YC/oMpW5zGd8Oi+ngESaFZ00
sM2RVa17gRf6W6GB2IPnxVH8Jqony6DImdC0ePfb4QkUsULgvvUgUr0cmNI0Zf2ZNXcs9OjGm3H3
9lm+vLv+g3LFVpx2RNSYatXe6o/7GDnkxOFEKgMLM8QuKeZ+Y2WTvGOH335otIL6S+b6HaUnWA9v
X+CRF5MtKXJ7ZjwD6YZas/4Yekr1tG3RtQWE98VflS7m6zr6dr8rasqdMH+lKXZvD3nk3cSGQeQy
xxi+OvtgSAxLWUJaENqQZNCuM0GaVN808sTGXv2Ul1UttFL4BdmaUTtBZfvywupmdkfAV3QdCq/a
01ZFuoF00UUFUxSlOPElvN79qtHQDyHi05VM6+Voo4WA2VtQrBRkse0zx17zoEg18O10X68IRVuu
BP28PX2e5fP7b6eLCYRBPWjah1UpN4V+ETvA4UiqozFXuj4gT8PZvD3KsfcEfAzbe5YvcBXqv//x
ntAzbPAm8qiIQicps9K0b9ZciWDJbZLJNKc/sUoee0lU0YFFwPRZDw5eknXt67ofERBFdg1UYrCH
BgBoAuz+xBduqBfh8EVxKYiorRL/PIy8SecFpmJilUG9RpMMOuRFY9CDhyjOhLEU1XbMQQ/ok9V5
VIbq5mc3+/BMlhJN3onf5chNVko3Tm7cY4P16OVNXkl4cpoVPeOC7H5Do7OZll0GIS2EslGGbz/R
5zXg4MJ9Wwes7nHtdOUP9ohz6Sexo/c46fg2ym06DfqVSknbIxKvziIvVvqrtt8nWl3hsNBakw7b
4hqfLXYh44n36/hvg/eMDZ5jsPof/DaZMxSTTseTyDAgrQESlPTZImMrNpY/fBSAk891OdEaKlqa
sEXJgjMtHhLETH+fKFft0NQq839+l4NZP0GknaH+rQPEevEWz2SxkbF56jx37Gnb8AVRjKPN5Ujw
8mnXS6pHrs0o8QAN2u78/snqWjIvej2+mHpjPvF2Hfmk2OY4OjOih7/jcEa0nRXYv+B85Qqr3Xba
ioR1KeWJe3dk3mUUZXPlgIWD+eAdnlFXFjN5YzRy9PYxymICEVsz/o6t+dSyefSCOMWxZWRpxhD0
8gZOWdPBZmNx7hryF6KODlE3me80Iz+/DOw8MIVTlVKbt5ejwOKPGlIC4XaMcertKnirIzDEGEbO
2x/ksTvnsVjxjLgWZr2XA3Xsu8lM5Hg4g1yAtKhnoVtP7m2TxNbdvzOU4AhKqozLzu3lUGU/94hw
eEjNPDQfoUwgKMm9DvgxgrLs/t8YDAEx5yqsaCTYvBzMBr7OXWWXiOst2Y3jgJcIyUs4oU7ZvT3U
sTeC7QyrlIn9jVnk5VCyqG2nRxXGZl6Ut7meeteOBwb27VGOfbhgAlxV91EVp4M3oiomhx4l712F
ZFYnoFZmaIRS+SWh4rVrSEsI3x7w2JtB8dBmqsCtyPHr5WVZA1yq0qE/qNUAObK11O+7DAFDqWMG
fnuo19fGwYttNpUYEHKv4G2E7MCxLckjncEn7ZOova297gK9nXOmd+l04sKOjOYZDEfVDnuH7x8+
r9HS8HJ3AOrByV/Epa99RrqUbSlirYTuJNGJTeHr94OwHwOsA2s9U657MGOk+Mls8rcR9Lpt/NgY
K4Jhy5Sf3r6HR0eh5cBnTHHEPpxowSU689oyitvE+Xd7irtrsP+n8g6P3Du1X6FvRE9A+UpfvhRU
5de48VBvVdMy3RhQxZqgrWCw26V0Hsw2Kn6/+7J4BTGqmNRHcG6ry/5jC2g5RYf8lH07znt21KX5
C4zXOx3AzLZs2gmMVGctB0PVwRMytTFqKsVztmoLvHQflRrVarvadBi4h0DnmZ34ml8/LeZ1RPWU
HTBxucbBx9VOyF+Xif7iUgCIdiEMX+mjtOS7Z3cM9Zhy6aKo2f3Qg+OVQGI938qDxBrqbZmXT2sD
c6+D3fzeC3LQV1FEVbYlPBOHlqJYXztt1NsmMNolfSxrjQCaITlV73912xiFjxa1AssSu4qD2wYr
1U5JX2nAp5GwHmCeTj6QFV6eOBq/3p6rcRBHUAJUPIvDydYFmNF6LuN0ubQgelVeZl2SCZlbV+SN
FdM2630t3+qtgNObobbzb6KIGjNAp/b9rT6WFoE3l0WaVdpyD+YrncSb0VZFQmjnXuhb8qmy9Pi9
Rx81CHoMRCHsN2jHv/zOMloHMylAFMFQWl9myToFCPGiv7xT/59T9B+8Kkq68N9zim7gFP2v//rx
/U/E6t9/6W9MkWWDKeK1xizLNES1k7f7b0yRBaYIPg+FW4KuaTArOc3fjFUNMquCoCiwEfwih3rr
/8UUef+0dFMt4nj8WBqopL4HU8Rmhrfgz9Mbs7AShrCcMWPSCz74/vKI8OeKoCIYWkn3paEN9K2D
a/nZ5qVxoU8O2nCOsi76UjckoscFdYfSVK1bgMnDZayy012Vor4CwSMJ6TlcnTJRB8uOIKcELHJE
APvyHMZOAg9HoGk2CUApxvzG0+bRDhPOyDNrXJf+mJ+j3eWIujpAVlYnWwLwVPz7ErWPJeWPx96h
T7WZ3OeoePTtFGOsiAh5b1Zx8uCTq2tZm4jVMA+XwP4hlRZhk6kgeq/uyUbWifxcLyaVVZ+Di8ft
5nhE2EtrFfc4n0iwdnNd6AAOR/2TBQnPCAq7qT6kOQ7kawoiUJTcOTW/6TGp3WdkLCIbhR5X3CxF
KrsdiXUVKGpzNs9axM8ACPW0YNapaKRee3Jo73S0MCsS0dkkH6X0Ub82iu/XAOOMyOYZg2Uw+usB
Zp59p0i7674tSfjG105ydlBqnrXDAJI7547a3ZggYh9VtEQXrKRdXbEqpN8xnkncO6QCTKE98WQu
mr6272sJSC9skcWSot0NvQx9YqnRmOKA0DZj783YcayK+5b5TXmtD5XrhH4cFeFcrfoW+vZikFnl
2I+pGBNgaBZa/UCSErSSKAI2JHSMGBR6tLYzuUUQOcGP21hDatSnWeBacVeFcrC629EqPT0oVuCC
Snowel+aOo5LBjPr34S7tclZ1mkAPf1Kd75SdRzGc9I1yse8GEaStYlIPJ8XY44BCS7RA/xWBK+T
ZuTDlqqCp0Ikl8Tdu1AKs9CLycTYTEWUS8K3RWIHNRtgwLE90d9LjDsomLI+tjYCKPi9O/TpLTnW
5EMuXap5H+N+JounoylKRtVQ9qQYDQaslCXX7P3oR81lRaCVtu10BLfbegW9uslcN/+0eHa7bgzF
Er9cag8Vd2PATA0GK0u789aw6gilrVeU4ZDY8tK1qwRtCwXHH3mmrcneJjHJCp1mQspPYEg7b/SC
AMSgzubywShq+QAuz7rREpwiCMvVkXyCQnyViTT66nrV8hu5BTEobIxLd0uKoyU2jZHpDvYrqP0b
4Q/9PQ+pLIK5kemAdmEB80k/oWh2MeCPb1qhdfxxJPP7Yk38OVjdvLgj0nZqQ2FG/hNkeHj9U9dP
N9EQDfw7rJrQT8de7Jwi0rNAR7R6Y3qRgh8SFHpjlen8teLDBUmOAYOqkdVZ1nldgytD6Dl6guSs
eBkDQdWOvoPtxgimCg79Wp8TqSHhhuJ+6LLRRP5fodD2Ute4kSmY/L5K5p8WBPMhjJ1B+9lyZHwo
6/SLPiOdCPIYyxrlTbv/ZPYdWTedvsI2MTND7POipKEiDG2iRuf7K54NLOppuHamqLdmIROk4AQ2
DGFnzcvt7E/u797SM5T52KZ+VJPiG621AtcSzAhEpLBKVJ/GiPsJW8hA0IYYy5IK/KQPlxAqu5Z3
MQJKmElBtB/RPsWV35UFPjmexTctXnFBlcQmXLQZHKswTYvK3iwZJ/vQmCLrYmLyJKfCrvKbzoIw
ubVEMd3HNojYYJCyR9Y9R36MqREH1Jmfmld6lBaPxeob18kiQcMx5ej1pqh5hJs8H1s8csLrbipC
7XoeS73KQK/5Iiq54MwoCLAkCB6pO9YP+qy3jmZbv+2xjZCEaOsCc2MqnVuSEscirEkfkqHUrfzJ
tJf8l+bESRrUhTXwQnPo5lbPmfPFXeLU3UXSbJR/E/HzJpkyy96zmq5eaFtxa4UzIIrzftZnO4im
khAV3HguTk+3jS6top+yjY2Rk1Agu8jmTV1VjQhQztNXBGHQfp3t9pKwUEdcjTHHn208UZODBNkq
XiR1EqxmjQs5A+XT8lk2ptueA3Qer7skIrxvRMXwMLUlZXFVaK0uEt11dlmVR2IH8Fbc11ZrYLzV
x0jjlkXzmdbGw7hJ/MZ8auNMu2ZdcXgIOETHs6Rt5JnQozjfA9AWfMnkhsAvLUR5J3rdfeoWLVrY
icroHteZQ/LLmNJI5NaP3XaA7klSUpG0Z7w+XrebGj0TASxwsOddFrE6kbJACkmB2Crweay3ch2a
T4JonzIs3FZ+HphCv5grGTJBkhnDY+fE6UU7zgj5HbxCIiyWqb73pwb+K/pdpHV5DlQ1oGhOUkhe
Jcm218f0u2uv0X1TEJ8arNivflpt0YGqzhL7LsqJRwmwbEzfzXjRfrUuCIu/zkDv2nN+bJ6qu6F7
ehquvjf/Q/3VnzVBYurk+D9f/ivYxr9/cvh9+P7iX7bVkA7L7ciN/fTUjwV/lR8E4VH9f/6//sd/
PD3/lM9L8/Sf//H9V5lWYQrQMP05vNgYwp5gm//f7yavvg/1PwimI7H4H7/qf9yNxZG//ve+Uuj/
9GnHskFUVUv+wfH2732l8P6p+lTIa+iLOQgdGPRf+0rD5b9xKuCI+kyhU8q/f+EvTfufZKaBsGE7
ytGcc8l79pUUGw/2lXQifXa89LIoEyti2svTBzNbCm4RIG9XYFZnO6Zb9z0YwXFnYJwisa/oxqdJ
tsvXbMSjCynaHDBMt8Z5Y0q+Y7cy7mxrmUM4rssZy9WlRtjJg4Hx92fceflNTtjS9TCaIALneGKG
8ODFtnUy3Sa2RUByRlQjrrCUmYV0H7xQ0WR8W2xnQghET3TOyuqBgIpk1wwZVIk8p4bDRxkQZTPd
wCey9b3FyfTeNvNeBrjQ+50kS8DZ6S4RrBt/7N0Hs2Ih2lTuOnwYxzR/RPLkG8FUZisJo239i5MB
v3fbuI+pNrghFZhPte/js7DXihhKSlr3/ZT64H7n6qJ2MFXTRcY+IKWhXdqtSzUhxRFYh+Q5OxtA
6/OPnM3SnlqRdgkV2f7YEpd3VYOQetRNKxvPwROjCLGHVnO+9nzZKJMIfn3O5pTVTEgWmmzr0Wa2
I+sznz+X/WTej5qDaaMe1PY4mrFJyExyxzy5xr8wOMVWkJJE+gGrIMm5ejHizsiwaga5bynjidZj
NqnL+bOuyfhXnasL5AhCZigvRnv3HKQq7ZmsznQZkx121xbrHqk1l2SPYACJB2HE5wojj8He5Qiv
eNtVWCfcDxjlfG6Gmd+V1uBnWy814l+RBSRgs8DZXLZ9w05lg0e1GTa6ZssLIjjxeQCZfozTJfro
yXipN6qNfEMRiMP2xKyMA6HoQYyNWIl5kDE6kSLFY1g1D4sweHdQbTO1AUe9GXzcYNsCQtjFYosm
3nDc7gEYG/+bvTNZktzIsuy/1B4UjApg0RubJx/M54gNxMMjHIoZCijGr68DJ9mZZFdWSS5bpHYU
CfpkZgCevnvvudU16mLxMRApJsbgMsfiXFzrtvhIjPxuqOJpKYaprAOyTFqvYtcsjpblhnd0IsqX
zvb1vqKo4JliPrisOs5mUsoNfYQeZ4EOMaeLjlEdObeN5VUX+tH9q0wbeaQU8heEZ1qR8iF9HYMu
3WI9ob7PKcJvtXLFczRYBJS9wlHPLQknoH5G/poMriOPAe1zP6tIDWI7ulZ5EbYyvofjFBoHMxc8
M1tNwelglnOxrWI3uOF5yvtKZw+Dv3TT94EIWnBXeQPvZg/pnId01705ZD7vZJJDs415DNPCwa5M
bjOLCA7ubioHYuVGd1hXyPjkpJDyLWGbID6ZHmDIlW4pWdr5WZD6p9btKeAVC5rA7Kx2PJt1YZLg
MHXgHwfiI1v2es1OBAYnjDEc91Yo9XgTCV2Oj0OqI0TXmoBVCMTwHkuu5ldMPXAIY1F2S3ucvU1L
6kJXvZvGVD/ZKZdyLdz3Zh5zQj1p1ZJRU5Y7XmvKdH4SHSF6BJYj3KCDWM9IRME+LYZ8P88enAaQ
BIbQLf8LrV20GRXy0Sfg4a8GfPIF349E2JNJJPaK06TeeiL69AZfyFcKCTp5rmVvcKDIE2qPwgAf
/Vb1rvO90uVyMTDAiR16Cj3T7ZK3IozpxQ9DueAbKBJtB9JYlUMFQ8CdIiv9ZNzENpfpjpBWIjbR
GMCSIJbeZmuzz+goHj2ygx7LwmA3e31q0zOSGRlkEbZRxyXPmh/EVBb6TiTV1dRzsCaL9Wbk4YlB
Z3rIZr/fpXX7vYwj9Q6TOzzFFfnPtTOKQ0eTo7nqPQbCBztU/mMjU/KS2SINB0HpPjR2uPPFBDOi
Tj4VyUEOB1P2gV+mBSzgevs4IkZ1I2tWC9umMAnRZb6a5gNd9cF2aIg8XDKDGWfbcrNI9vSJZxF1
SUHIpCq7bqbr2aS0YBNhnODEJpJQbsKpmapDxEIB+FPs3ySi1vZG1/PoU048+cGaHNZ3O0hssaea
rS8/+HeTMG7mui+mQ5Q5Jid/GJp8Z82wNgK/DqD/U8m3EiqrqLyTXsYEmE8qI4i9FHrEfGJEICls
qiefBpq4t+p6Z8h6Fyq6eEnlGiYlaX3VfR9mVYcHIPakVTOl/PEWhOnOdJgVe9YmugzHdT9Yv6aY
DkIx7kp85uO+9dza23ekxP39nL431fxCFm1M+b0MZzpGtpvf+XlpUF48Bmqvstp+tgaLwseS30Ds
1ajDetUPbVsc7dqguV5T8VtmlbgMVONULD9s2uam2qw3kx6qHXgTriinvQvnMcvWxLuCdaDSpjtH
zLvxHhRUu57zFL4mZxoOEovRxLrL04XhDlHatO+CMM3M/QLiOeWFO1q7bigc4IdCh2fRufZ97E75
ufMwl2/pKymc7ZT7guL3mq5cLJsxzFopp4dKGfOvhsT7nsClfKa8pGKd03Wt2HMQzC+0E6tfyuQn
qq4bxI8266RzjGiYMm/IB1GV4NS+vFdBGyS3Fa2A8zqRTW2uy4oq511SNP2D0vnoHGNWJBInryrh
E1QtV3xR87ps6Nu0nrI8WcgUGXV6xL4pLcZjTInHnNXxA21qwXylFBnDYeb1Nfx9qaJDXKThj6Yc
Iy7ehsoaExS4iul4TaD0Xeraq1dg6Keta9I174dUvc+DWmKFOQzRQ0YrTmts0bacFtQORKBzkGpu
nnXpxy4ABKNPWB6YaxyVMZ2x2dS3m2r03ah94eHiLw0FwhpvrQQzxlZZ3Hk3sVEwmtWDP8LGnwGu
8BK3kX7unLC1NyLt9+BbVLFxGk9gXZOplpvBaZLhPi6aJCPNN9XnvtE9ixssFLADhKqplDUst4cZ
WoS7qmIZs+HsAxcmG2th7NJEN+Glnkswb9QZ40Yjkj7uvIpwfAcfY1qxwcp4MH2dj7Je15cqFck1
7PnDtnReJDOjigN/yFRZ/E31qYIq2zum3Ix81wYSUjgBd1NxTppVK3VLoXKm9+FE7/FlJNWfPjuR
oh0n1ENyAJMe3PhzZ0WrmAx7vtEBHJUjvWuMTdVopk+m6L0Ppa2xowKSkWJbwlqCZ6SS0N1Cv6y3
orTINE59dBxY9rwW1B9ZDKUTcwkJqh6IHyZ+fz+w8yL2aFZcYDJMscD6nXb9lcmR9c4sp5z+JjtO
9x7ibHUIeWYRy6GERRyZLJINNZIb6A3WnoRzJE5Zj88GYcvLxLYvI1o3CUEt5Tl1XptbVv9U9/Cm
bCvVQ+AhDnNmCcM9pD2ABT35VWcempG7nSWqKb5wg5q+U1cdlvtGmtOpTcBAbPhEd3uC1x+Blx5r
gE6c2elioNhxzLxd5Ii9qYtHm/sMzW67LvWusbZfqJ752Qzy0NDcUfj2xZyCU5pQfdu0PjCIMqem
uP9eVcVRFaxsx/xdVO1rUIrXyW0fHc+J2NFUtOV4bElz+j3atJjWOMjXRoSY0ZP27avvzF0PXp9c
sPvvgu6D89h3ObECsqZTA6ri6DUBN2BjdKoLtYSNOo6SCyxhAiTrq+S9HprQPA+qJUDuYZSpsNWv
6SF/wO9Hf6Lu8zfWpHwqwHYTVeDTmRF+ZwFGE85mtqjUgyygpSeuco4S4t6diNck4kiFJ6yNy6cm
ioqrMviAbUpeY3m0m5mvKQY9OGuDA0D6bHjhjyKNp8fUl/qz76Ahnjz6yeP10Bq47BupXsUUDh+1
23pqLcc5ZSVTc+2tBv5ueRj6LAfkQyGOeaC+tpzXw9xwPtXaGV/dcM78Lb0+VArl1jhfNH9zssvo
KrJPUzgZ6YH6M3cA1YTlhUwohE02puVWWOmpnT2VrQqX4q8LImNHt1nPDL2beH7Q45wn8TvdZ1HA
u+RwzlIqLuIbQ1om6XUxyQkHTUitihuZ5s+Ufg0ukMiy5LOmovnYlXVjXKzCwgmmxtLP9l8H539r
P3CTfHCWrj71X5cBXwf8f2wK/r/bImBjREH911uEh2RZIryXP38tS4TbqtG//rJG+P3r/5SnHBr7
UJgCnwYID1WZQ/o/5ClvgUlCYv79X3Db/LlG4KvwFQYwyREYF58hv9GfawTxGyIS2wek1kVXQtz8
d9YIi0r/z+IUQjYWkgC+FM5bIuV/U/H5KLfIFOI7JJJ1XRlXkRwK099VHNHIpXKvm/gA9en/ILEv
6uv/81N5ncm9YKbGDfvX1QWVoYoCM/F97E6hDC5Fv7WraJ2DbJnnt396c+5//6b/3NMBdPFvPwwJ
n/0IOTfEQdSccPn3f3JD2D0JBZx9LCMrUAZr9SUisPxIDaAhaAtsWIJ9lM6lXNlZsyzUO0kfZ/sl
R8gvaYLnoAzvwi/JgqNIctWZbTyDjUPSmL/kjXRROuov0cP4EkB8avIG+EBwn9biSyQZG8anPcEQ
xBP6tnK99b5ElW7RV7QfkVHPFtUl/RJgrEWLqYqq747BotA4FaUULF8X4Qa5pfqkjh05Z2iaIXhZ
gs9qbddwKRnkkvYqvoSg8ksUihZ9yK1MpKLwSzZiF8BM5n7JSf2XtERPXhkS2+7o32kW9an8EqIs
5ZnbESDMJnCLQCzPiuLWsBf5yg7wsiBexvDcRETOHcaANdVb1wh8Bp6Y29UZupdvrUwnpS+uM9zJ
O+EF8M6UvtP8y3QImI1dgX2b4N5ldZ06tybaDOWGxfzg1vFbGxsU2fltCnqm8Eqn3TgiKwI0doMH
5ITNIFiB8olcsJYAz2gdap2cI9k8CbD0ljdu8drEzQaS0eL2Msem3dPTkphrq+tRairL6vTDjOFj
b8IGNu5Izvk/x2TI4n1JwXC368rQdEFuBHl8dha99uhQvTWyXAqqNwav9JdqaWpaMUnVYmt31ECv
KTgLK27OpS9XRPT7mzBsm2qTd0Z41LWXNJtwTIBG2YQ+sjsNLQqIBrvpbt1GZUH/rSxRASw1p9W+
oI1bbcBblunJyFOf4/TsJtjyxpHo7VX1oKHWltXLj6EMMSKn2qyjHex/ZBwJq4eXcAqzA5wR4Pwh
HzGmOZfvSN819jS0luIdAOOkViOxhVsWKulTmddDuE+cwYa0Hcy85n1gDmtpJelnMcXwiyBvluLU
dlTuLr6psdt2dP4dXRUAuMS608r9TJvVk+Sx6O181XcAx0riurxqkBHiyYaYJmwjpStnBMKn41lT
IlrL9l5ZQ/2OmNaToMgFrKJZ+sY78EX9gKczfqnGSX6EXtFd9JcEZPBBQ0HS1GCuYYP7P1o3g5I4
LNqRgZZ0lV+CkvUlLk1fQlOJxMGXfAlQFtA6gIVfwlSote3tx7ZAtrEW7WrWmX7IvwQtJFHEX6DN
L6r3FpgSypfvV4amqm8YP/ovZawu7Ps8IxbNecFFOuu/ZDRfLe9Fs6hrdDFKKq7px2SH8yXANXIK
vW1MVlxD9SNreQTMhkUnNVzEO+ag8Y1eQP++o2ZS7xj67XuV9KRXgy/5L/qSAm3R6V/dog/OA8m8
HQig8JcfVkj2hudmj96sAwr5qix7RqpHbBzotv7Gcjardw5NQWILTJLpRH7JlDlY+efkS7ysvoTM
MeeaXTswAH36uxaxs/ec6TNZFNCZ3f+N9yWL+vOMC31Y1FJz0U3LRUGdv8TUGLDfCHGnUIis9hQA
I+wKS+71osOKL0mWxddwVpGLdT6pfHYT7ZeAC2sBMXcaWvIt0ghc4zx+Cb7Jov3+70Cjp+PP//Mf
WGMWw/q/Hmgef9HcWf9liPnja/4cYsRvTuhipYF6gdPPXrL+/xhibEyAlBWTB8ZQs/iT/xxiwt88
lq0hAwZhPfB2PsaXP4cYy/oN1wcWRRw2DB3kcP6dIYaf/5dxAg8PBsQFP0w+kLHib0OMq8M59USn
VsCa2ANPNLWGFlTef3pV/otJ4n/4Kd7fckqY2MNAjcQacHdArWyyb2ZmffvvfwaWoP/ib1lca6g6
eIWY//46rYhWUjo7YZIJs7y0NqkMK3cVi9L4WVKm8b1rahB5CaysbzzoBatYc8D+m4825YRWLK1y
HUkAkQdWBkV1k040WZ1aan3f7KCZUnAQefYZhsqaHjCMqGmL3bV69vOeEzHnr9wvv6XDHNBiiMNl
xi2iKnUZ0O6XzZYHRwfssaGsvcFC3FnVgTLLdaW87BWbLqjj1GoKbw8huA0PgzR5fPO7sBJSRqW6
dcSaPFvR8sDmpZGekx8sp9Cs8oSfUmFLPyGuIlBrH3XSECjqMBMiz2Tae8IyW8MebKzRXFW0JtoQ
Vpfikkoo66cZpwte22+GbcP565riq4RLYaoaZJpvdc16il3jFasCMu40zL06UFxazqdSQFfgDA+F
fC2zCfxhZ7TYE7pqVvzt4TBPxz5Jhzd6XRNuYbTaPpplnB5tb4SYloRzeFMRsYEPa0mvX6VNUBz7
OmNtUDit88KZv+nhQQWiYqfRssSZoHC/i1ZsCU9PrxIcGsTnMEmoiavegSfqJws/VMxO2Bwf29aA
rgmcUDJPlKIZABnB/N4y59pk73uuhlXrG/LW44cTfOkXLY1tIphPk23IXExeg3g9DbeyU/FwcYK2
AMQsoRfuBrPLXpKg0NVa1n78QnOpRe/x1HSMZoXrvI66ZP80Ip082mUQvUQO/OqNA5tz2HA0ry6o
PBg+lHbmk6Mj47WmC47P69i6LF9AsHw4TU+1UlvoPN2XQz5f3WEmQ9MMLijN2CtIQisTvtrGsSYL
lCZZlce2MLr3uLMgfFijBZBTdL37OYswgqmJo3ipIh1KY5UWMg5WY9waO6uFX7jSutDy4plBsooI
z8wrq9HBdfCClipkKOi3k2/LBg/CHLtnml5L8JM8GNP12NH8maBsJr+fcf73iPwfDnkDbkv/+ony
UDXvSfEX1+YfX/Onuh78RosMKQLf53D2u4T+xxNFuL/hkudcjPP3Dz/nHw8Uj/ZICKicxvgk8OBY
MiP/93nyG5HA5TsSlFk8n/g5/zQa/HFn/++qJTFh/+1mT8KXjnmxZKP4N07vfzs0xnRrA7tsqnUm
Ei9fZ9p2n9kFE2VrBPtW7JpjDX7eTN+ppvU/RS1VzEL2l1DjTlSBRY+K0624mqI1C3f2ghSoYjxK
bKiPrjKtMydNUop1zfVWjXZzY+N4c9bpSA9TYefJtR3d6Ip5szeg3kkMTV6srp1sh93MZxVb+uT+
ChXOEwBwRnK0ys6/RZN+DX2ZnCFgF49uW7A1pRijes9jiR7XNaK+ibKUsJcMM45dXvkoLK4BaWTA
2HQdm/RUeiX92XYw+ZyPhgw4X+33J5a/02ksRvXNwSl5Y0snvSNCHt9ZdN1y5kxGR2+LsVjahoEk
3hSwZM9FVwzpprO78Mgyvn1NdCouho6IZhkl+2uKLqKPmN3ak5pz/EXj2HFXtZtx3IeYUI4TKhpn
VmvGEaDDT5kyrKOguAD5W/6/OCmDVRQl810GmXzn4EDl9jBlprHqE296MWYt+Pc+oSxcJbs81Oaa
Uuh8m3hBcRgAnSKiZ0jFcLYxvLW9G65jP/OxT3T5vjTq7HshpGL/llgHVJ1v7AzaG1DJ9bFwavsy
OxoIuVsL50iQyAAIC4+5r4CvhVQ5r9OsB88bjNPHEHjyBdUkX77fq668X0Uqojs/k4ArhZEZj0Rp
WJ0yvcBWDOPhGBo2QNm0ChuLPnEvPtdlNjyAzKx2UZi4/MLRbl6K3Ck77/awZJ0T/fU1wm3jbs2A
ncUKE5S76ZsyeE07p9sUleef/DiVT06ixamE3b5rMW1gQJZe8G3GSb027chk26u9vS4luiMX4XYk
Y/4QpSPCHxUC8coIY/CtFATzrmd5Nuw9P6fyWs7JHmjtXWUUydVjmbLBo5Q8Z4mrIaCGxQ8LEW+3
iK2ItIBHVulYcaiP8uKjrZ3y2lPeCOMaCVBVQXyJFUX2fWyFx7LW5sHJJgLvbBEsguLDyihs8Jo4
olZzEqILu0N2o1TlruusFoeKR/G32q76H0mOKZXOM/cuaXFLE7/mEOrlXLhl02f3HYuRca15qJ+N
atnuz1qieI7NC4jT9sHDHt2AI8ODuipHY7oZZguMYUwO6jM1hrqyH2bRAqHpfRnZ9YNwnf5+MIZF
Vabt5jGbdHiJ23p8GiQ7CRwXDhcmZPvXoVrIl1q7z3kzxXdlBpGQfQcGE7MFuun4CZI8veWmEQa3
cevhLikrdKi4NPO9mdlo0IhqzsaLvHzV48Pbmo2ut0FnN2+Qx1nChKN8bQmz3g6+Y5zjxhx+jdTn
XQHs1/uhJSKJhQPhn+rwjYpNeEEG95JD5brjFuBt8N4hht+St+p2lTGpK2Rg/6lXraEgv07y2lKo
viWE/tPEtYLJzpXjE2QAec2QAJgHdXlqYR7FG756+FXRxvnq9l15ano93hpjmb9XBr9Eu9hnurFt
N10zmC9uW41PrNgxOkY6mZ7rqNpnSZR+TJVrob67k3V1CoHpoHWiG9eKencFhhjNoIrNeMOsnT/S
ZIP3EDEavXqe00fZu9a+V6H5raxncW8q03/NLdN84HNlPGOhGTdgCvWPvAniXZf18kmiC702zJ7X
PHBY71MRUB6ZLWE6mjls3TnQYPvj0dthHPcvLE0ZMfBb8jlcjIXJK1Dbk8fi/FBylFo5fOaPlHSo
14TCDtRYEW/6xHF6CBlpc/D7MW54Z9OOIY3wtM6D6TtbTJxaYXlswebtO+DosNyb2T+23L9oryrH
smHOnO+7AAurAxUFEr3fRMcQoeHZNpoai6wxnZUo5AikVOuNwQTuAF8u1vGcFk9Bpa0XnUT01ODE
mS8ExfK1R0HETe3O1tYUtJO7ktqGqky9deOOA4+xJtxi3u1W8FDCnTM6/dmtAxD5bja85WqwDhXB
5V06xfMl0aG+hWEc4a4qkl1FKP+piA1MXXmtrxCP7D3vn8Im7de3qZOTKXBlvK2aJDrlbC0PVWJN
OImnOKX4LNO3HerpJU+bR/5fbq11dRZBXnO8qHW/VctbkvkxfjKZ2j+J5svT7HfG9zhJws9WpQyI
tl9555kUAUQcHVwcybgrIdNj48zv+kHkn2mHnFirpnqqpsh8nUHb44dN76a4PXpLqyxijW/fUwec
vTsRwzBOQHPbWpV/zAe7O2A3CA+W7sc1yW5xng2p110Su6sF9vvTsmrvHn9EfWNpkW9rZct91zrG
fvbdCw4OuXZcap7Qod4jTLuQAjkqmUZZ3WbhDMHHMPQh8Q17zQrOOjf5QiIOsvAmMpL02JtI0cVY
L6ePKf6RpzK7BXpK7hRr6BEmWLNzoPvvTN7nt4zX52eNOecmgKv8RDlFdcsYEB2ReK+GmleK6YBK
yL7bFk5q7qFtcQH0aJFJ4tobx5+rTWCVDdciTzhZWrjX0sKanR3kkxrMMgPT8lRx5w16rMGzXFQ7
tn45Ir3h7CbLms11q2BzcgLutr41DkcmrYKDB0ZYCrvzta3CnhDyuOC+89o/EGNIrhDC1RnhW2y9
3iJ01evsHNBd/12l2j4kdhs9JomgUsYMFwO30W4iy+53dufINVGFhFreITuTBv+WB7H6Js3GOtBq
MGzLofauUDAhBqsqvR/qbrpMZl6gr1pyy983n0JPmWtSPOOpwbbCte6Y/XUGPzqvKqca2OHNfQhf
rhzeOD2Xtwn3851bzdMptrzsyEGoe+1bw7yHCC/uWIMPP4y5QOqlFeAh7kW/HZRP1ELMSPllsXe8
Lt6jTMsbJxteanC/ay8b3Qs08zLFFehSvdDl7s6aiqJdsesecAiFsn+aaQ946ho1ImPIpD5XEt+c
Fno1RYlxmjoEC6I0zn3u21pcXLjoB0xp/ZFznT6jyHiFKk8MLT3PPDO31zZ9QM66X0qrIjD3Z6jl
6QYevjRXeAHUXrC9nFYsZ4prnc88lIxB5/mqioLmUtqWcYSyH28NJqWPcVhaAFBc0m2cLKxzbs32
0UlJ4EKUbgZc/OAVLnXY+O9jgh4PnWDeBaIIfnht6O4tGXyf2mk4zLqar3Of1Vumv+TWEvqHKTrn
4IQd0/Moumeh4nJnNvb4aWqDOwC2wm7F7xeuGjX3pwIJ4yXO3PF1qIv2eZSCFIlq4/6dv8Pe8ljF
bcJya3xKWqfdjVah3rvZrc6JpSoOzIR5fo2Z6ZC4TlDPDdvH/Qdok5yhWb5q24q20xDwyMp9Vq6r
BmJry1p9F6devy+yQdz0gXKXkX/aY0+jxyjGUPdtzkqbDYYx4AQZbHTe1Iswb0qprBeX1oKjNffO
jlAYrLEwyC991EZnQZjhVsxu9B7qybhqNuQ/c8O2j0mXDZQnlca48vCMbNgK2ZewCCCn5F1ECWLC
0HUqMLWeGECgTlqWoXce5RK3wYxfuKO39KOUutn4Nf0EHNXb+yJq3J0BOByrgbJCzB5xZa6U08+X
zK67Db0Zw/OoCnmYh8T5EBTa7Dxj0h+9Lmy9I/YQA0nuzX1qdROZHK2PQ5aMB7fjmvLSLvmcqKJ9
cpzmLYzys1GXDsUsT+BGpseBgAWfwXQb2s2ZT8585j/MIweHhF6MWdjb2HHCTWYKJ6EUyAo/+qx1
fgyD2/lsCurq+1Q23M0aA10o8sgfxLNzn83UUeBaMg6ejHBapIC0bc4tt8kUiCuM4ewoVEvzaOlm
PAkqOpKwbCq9S/OUaApNVOFdR8nsZU7b4uAYwtlzdZTbFMscviwdnCjk6X7kVOjsR222r4Ch410W
FvYumXiKsAgJiXnRFnHMIQFPm0UbWllYW7jJjF5OqKibrq6cnD007wFDS9bsCJnax3aepscJFDt+
Hq68e0MP7WdlNP2Zeor00ANIf2XHtjWT9MVmESezfCu6fK2leVqetV3dPk9hdB8F5X3FWXFLtuIh
6sgCenbxMJXOqpjCiz35j3mVbLwgegCT9Ev4xqPdTcSvots8M8Q6UxOhqMppWh6xg9h5iWNwp1Ti
1zhMHT/d8e4KpXu6dZA7j/WYd2dCN82m9hNvHYaduFUguVcWNStP2Bvas9MP1Z3si+xUUyax/xKG
Ejh7+36IwodKLzufLHD2i3fzORMkS3TQral6H08x5dq3UWPPx86fLmlRYykyWMXdun7jnSIzHM6x
l25xwNVHeswqRkEr/gQY43FF4knxIozD8bLbM91sXS95XnjlXcvDXvC4uGXuTa+yIKEgh4vZdN6t
Zj3ZrBiNbXPj4hVifycDc6NL9TCYWXiizDTcumjEDwW23vXUdhwNm8hxz/DT7KtVCLWXwTyamx4g
KjcpWDPPrBydesMVML74UaLA4ftZimQTxK9Yg8x7h4owZyPRgiRm1rjd9GUy7w3KplaeM8ePrj/6
KZ8+N92by4gXFS2Gydbsd+ZYFNdc2p9puqj6onTlNUw88V7mdKLgMG/PdA9Zu0T69XUe09bfBd7s
YpbOcyZNbwpfZiWRncNy6DhGleq2mXEjE9SqXkJ2cCTf3Mz4LNVA5s3mibtTZJT2Q9fn9147zS/F
4DBmicXKy9TjnuNeGReWx/ama4f4kCBGkXfUGNwRo+VGtv609+ekXNcc9w8lW16aEPy03JEHsi60
zs3X0cuMi5lR9Eyrk7VHTJ5QrDHe8BCLpyxb8YzJLn4r3G3Uz8NWaKeHykry8ORnln9JI1xjBnLs
RQ5GOeHQxyzP2pQcrt9PwM/iVKxn4ehrG5J146AYxfuxofGDj4fhb1klDHemg+O7bmRywH+TFXSD
LD9jKHnAerLHwoYUvR2GqCUbGTaV2ooqrTdpO/P5H0SAgSyHZZjhCKcZLx8PHQr6Cgya1exCdgSQ
pHvsTzG9WRtIeki2de/Nv/TApd4oO7+XLY1uZuTx9B+b6pI6gsYJDGJPtkrKfYkt9IcgLnLOa1fy
tdX0wmQVnPBORuc29+NjP1bzI5G88jh1LiypXKHps3+7QTyQP4Ya7/LK03Zhr4xYsQ6oWr9Y0/lE
dqlwcoxdNut/MAnqQEwxeCQyTCtQWw+PiZUXe9pmnMeusMNt4QZ6oCAgK86c8MujmoxwX3maeyEH
5XJDh1u644DQHotk+lTmnHGrazlZeSjWWMwOHXGdpxKH28aO7PQ1Mmvz3jV883PwG/vUpH6xFbFj
sJ9AnD6ksvHuC9Prt44u6pucwecYyqL4JC8ZXuto4IbjBtabEckIk3TpMedhlp1XnlGFnzgMy2rb
FRWWXGM28JDExNCqwu7uZ9CYd7Yxoje7PIkuc+UU96XbjndCsCQ/Fti4vhm5ax5LPXNx1ZypjoXK
/Ic0ssRDrMbxETdHd/BSj94mjAHnJhD5JcTlhxWRsq6KcW0tB6t/je3lwRmZ86WVhf5pEr74TiBi
OlfBSFnzgB/R6KnpwXRoHU2TQ3aAGvDTJHh633R18YNGneJUjYm5o7BHc0/ESuknAwsq7LUn9v3O
cRJpccinPH4gD+jPq7STmLLtsbvJAwbKFdKt+mXXg9q1Te/jf+1deagcPVurQhFZXM98IMO18Csc
CJBgL9Bdyu+GKItHM2+bp8z22ocor8KtnTjWwddTeuONrnMzGn7/6Pnu8IaB1L6a0pVHOp/k1Qga
54y1lHBuURF39gYnfMPAu1GWOa1FR7BvCuKA/qI0vwmsojs4ojdPeZK5vGJVv2aEjR4iqiDvtGNg
dW8TP1s1o0/7nh605riZUZJgkE5uDJtfZKyw50U2KlRP/OfDA/N2MRYE+Mqfy2fyRmo/48VcWVFj
/cQA0T+UcwV8LqmtvZchIolIpBeba1qtxNSWWHIMNpPGsMg4Tubes+f0N8GUV3uqkRr8nP7eU2w/
9HMSGeGjGJR4EN4QPXEwNXfTWCXf3Mn313nZFdvOTtTjHFfGikl12EojKnCrW/2tiDs6dnT4qCht
iHAvGPImx92+mWkjemu0b/P8Q/kpSsLbY2DSE2FjMxWa3pJVCwBxHfXxvIo739+lrhGnqyRqijOC
j7mXY5a+RRHYSYdb+jGsicmLwh5X4UhahDjS46Rjc60dLfkuI/U/udMV54oD8T2OJnnTJTwAi2U/
2FWOfdeK2HoJnJYwy+Dkb2E8IlnRSncYWx3csSlMnAPN1pO34hCN6T9uaNVhkTKsLTNzs10YVay6
/pO9M1uqG8u26K/kDyhDffNSESWdDmxaYwN+UWAg1WtLW73+puI+19v9g/yxOwTGhjQmsy6OjHBE
5aMTDpKOpL32WnOOSU1EfRRVPTDAolT18i1FM85Qk/LUUjTp7Iw8myAuuFV30ZhqhJIawGXPe2WE
cl7hDD8mZUrhLhqhiGypVqmSmTvQClQL/dJxo9DeyLKdNEg9nT74ppC7lLRRHxtdRUROK+yLjkjT
FDf8AAyhD1OsX03MKMvnPqNbV2KjuEw1enKo+JI3rLTjmYufIlploiMfSKoyPnE0mmal3fMJES54
/cBtTVJMlagnjKiZy8RYRpr4UmSV4dcCd/uJkAYaC1Ix6kNKBkxspsQDRFlLtw9LLVYalwUAOyDB
Qc6Cc5ckn/HCHQAjGDHbbnqa8ezudENL+Pols+TAxgUbaKyl1KN5gm4Zst+8M4YlzANzhkHHqsfq
4GbummdquI0sundLacH73l3yiID+l/tENbGBzzTSGP3BpG2pdJp7cNfK7CkCVkMTurRsNW/nZboH
N4GKaM0+rkR1XcfnPEqcYluV+0Cwx7VTdMkpJQj9Ex2ns4Hxnllw5x1HsRPu897tThvMAGvFGrFL
uNUhihxtLSwlPys7Iz2IOuMIxucJskeGiZmKvM9j8Ifh2pK7mvfQPtKT7G3aGtHbRjXLN3aofCwQ
K3e+orH99KORN2VkW7Efwvn7JJ1qQPRuKydWo7WrxLYv3PhtiRsMaxC3vUjK26QNk62iM8zuABnv
UJyj+nV767xxo5Hsp9ApNshgws0C9GBHX2nB6IbvOoMNemSwYFoZfn0u07xzcar74+QUH/umz98W
dY+7Uc4kpg5edKTicsEzUmTsZ+AyuNLzVrhBh/0q7SGpwjwzVxZF376TT+mVg177raRQu9IsOV4U
hL59mMei3StRlZ+jigzDdTelvAM60kPLYLTRRzHNivWBaoreWmtU4jDinjsgdgZ2g+0VB7x+skOv
Y90HX2Al8aZuq/AdqITxGHtEsy1So1oCWgTrQ4tmTh0xxkkXu23QG1V+Os30+Sn07KO5Mrix6J4J
9jyNtMZ70OF/J7F3k1hkKN+fxP6zuKp+/9djffIyiOVXPg9iTe9Xd0nUAHfjktBOpvYXaY/FINax
YdcwBwVxxHD1i7TH/NVcsJueAzmSeBPisB5PYolA9AAk04izLZ3//pNJ7OJh/ioURm3kMeolqAUC
uw6A+I+ELIMES8T6dJjaqGuHLXY3GhUlhybWCYmstNyUcKQ/VcXhOdozLEyPrtYzmp87ptjTAyAD
BLM3H8kLkavxVI5Ds2qkN2WMvmuKLAnwwkTjZsokUF23CC9iqyEYOzEL7cJKRZJuweShg8uMOlk3
kzGQqsFYkK4DKphyL01F3wT00QvnXmxwb5V/5jifjquX64RO3LzTcVscq/4HEpWalJmEijb6taKW
py2q8bM6sdN71f93/wr0oyffh80/LFeCCQjPqWaQp/H0ckRJ1GRIdlmtGhnmvqM1GNLYCdjXKTgd
v9FHUAwm9S37mdCt3pneMB61um2euW6T1eSiJiFbxBqp6VppSMb0FQk45KjKMGEETcacYBONECOp
u9xBOw69KTYPEt6e+jtT0KJd08acsFJPpNHtRZpY7NIC+fM+Xip1/oC0ZNY3WmeLc7QHpYHyJ4M9
RJwhwWzkzoFwBa+dYeJQETELtZL2Cdqd3gvcVKnLNyMBDFQJScbW32xyM9zQqKMUUMnhpLdkGWTO
DVJnETWNkv8r7KYYjqaUqVBgE4dOcrea8MmNWzpN7BN+rMbg3XKtaPYbl4XrA4F8IwWdPWdtgDgr
3Nlm7+nncWPWvI/1tB1XNvCLZDcLNJcXVadU816ULejFvGaoA1MH1KUvXObXAU6kWGwVcq1lgO82
TPYak4xn5EhtdmBhiqbnXrn9SBHhOGjFWnVAfhw1+gWmGCIiFeTNkZ86BpVA7iKuwofjphfeXEBo
JdydQJZkmCb9ILLoka2bpph1+H7LnjWOFCZaGWnxeOjbklDvyHXXDD0bsTbTFssYCdXoWkdMQP0K
z5/WbHSmfPJDyYLs7REpqSP3x/KDF9hM1epDREoUg55xqULSVppnditzExszBcbOmXvV3suV2bX2
hrAYiYntbBxVxVy2xRl3P4tz6bru+0oauthrwomOuJOVRrc2dLe+sVjC9otMI2IH5dAoMc73xPlk
nubVB4nC1oL9VdyZMKzGHAtQCcSEUsY0k+OCzgHdE3vBHOsp6TF4Zksye4SGAthPezlY3D2pcYZS
0orXdA/UeoXJwESXH2lm8SEclOIG71vq+rWJ0i4we+a8dtJMYWAQnWwEHdgo/a0GzGpaNd3snoaa
iC9SYjau1aJWJdaqCkmgXQ7jTjXmWDlkp4D4T+ni+gK9GD3dxuizy6ag75RPIr1BtdIWu4q4zZNq
GLBQCZVqJnF7eRm5mhwDXWvsfTXynPEd772JRwKrbwVtCbjAdpAFHQpELuYYGLQrrN3cqEweQxRk
H4TmyN+oWJU9Wv+qhhc4ZBoQVwiPA3SgUe0jXBPJhte5cqhNWbxI/kbrimGzwjOesiD5OIBrc43k
e9ilKdqtNe3kDMv5pJkbAuaibdtGxUg3LMNvWY0TWblqrHtzwNAHC7lu6t124GwuIbuMeVCH09xQ
T/V8gcmUVySBKjO50pMcOtoHSe9M7FfdNl831ULsqZJx6FfJpDT0DNUOnEqals4uK2RLtGpB736l
Yh1jL7X8qaATOhVeqaEYCKQGRWJljDq3IFvA+BTiqn5OlFjZ+/rkNe9NZPrvLUTPv8W664FAaosx
mBPZzxvPaI33zCEvAAEknzJyZfCo5xg/IdhOArMokGlm2Q1ULoIV7WHnVGNy2LVx6qzUOZ6HbWgM
GvK+joKVh7wGcSRbRkWbIRLWp6SYTdRDaZeeaaHhKNu8nZEPGW056+vOIKKHnaOFSrOFOEETutPQ
TMTE12rrebKcD5o7esMWT718g7y7AfE1wCpD+01/lBFPFTMEnhJxjZanvUGkt7DH2B/u0+WZPyn9
nFy6Cra1LZNh79rrh+E6sfOTEFBag7qGyGaACoX+VsIzXs2YAI8nr6rPhap+0usoMQOPJedSz6+r
MBpOkVHG146sQRIQhLrttNYg0G9ubyYpQX7WlMaJT3WpfNCnXF5iY429AEDDEtozMd4b8E688aIZ
EL4u6uhj58xjQ3Bm1zq+QXfpE/bYPF/HmAOv4qJ5a4+EOG4iaWvvUEjFn1pPkhaJDP19YjpOGiC5
D2OkWLq4qBI9Ej4yhRrFlSoh/eA70T9OtqD9meRMWHaDS8s+sNsuu6UZVIjAzRzuXidjgOKHTIWK
VYVhGku6F+XHc5KQ4Fgq9M59IzHKd5mkz7eRYS0uolK3q1U+OPmHsp8tnXyLsMOK4zVawx0cmUeD
Z1Q3BmuG4o9NWt6gUobOYFdZ7+5rBBHTRnQbRrLMRacj6C3d5Je5Hqn7gE7d0xFZp7fXKaN3lDFa
sgIm8lrrOz1fNe1qhyH4bIGSOTCAJ6P6iyIbDFPPQ40qMzaCKtKbio6tS9K2nGN52xUq2l1LiPSi
NenN+ZlSp4dlmqTHnbrgCpABtN468ub+3GbzyCvU7Zi3MToxsbOmcXQSxjREA8+pem019cv2PnMY
neOxdSgFRT6mJ5Mxw4yZsNddclOhf7ir+/67ZbjbMkAS+v6W4Ti56n7/9x+3DPzKw5ZB/RWYsQ3B
iKCXRaRJjfhZu2kuWE1HUx0dUyFaTQPfwYMbQP8VIImhE5wCq5rwjeXXvqg3F9gSHgDUnQvcF+b9
f7JnsO9ycL8W7eg/l0PQgeo6xoLwNdiePHb8NXhfPUYb6OZzXC17DEfdw7kpiA2vdORk9yVgNlrm
+8KjhiG5oqKhbmUOqgJlCu33rWEy80tjhQef6kHJNwoUxyOHbFAbBg4MntAZ2Z8XYVTCO2it0NxA
bdRvldK20SKMmsG0BHmxEkyG1ZygrlhkPyXUHaieAAK2yRyqEEwoV38r1cy97bRuPpNWjfG4RriN
+N214tNKV2n9K+6yB5d06sTOGQf03Tr43HrXTeza1pPuZiclBKZPmpUmTqBUwjxk2opNiDKSX4dM
rTQ0k1PzWlFm76Z1nAWY4ArK47lRvLOqbNr5DGGtpLTJI93ddUgbkOK7UXkBjMtkwN+WDIvj3tHx
ZIk+t9Z48O3pja7nvBUjdv6XsxqT59ci2alXrRXbtwpC1Y9YmttwPWou1eaAhQvcBKZvGH/JLM8n
2nPhmqQ6jNBzX1SsRqK13htMrY+NSXT5brAYba8oT5eammb06eKw1kjFduiSqUzE9ABwZnZLFyd9
Z+ENtwMXPVaHVkuBwj5EGaW98JBdSmA6I4a8FGZgyPwzJfFbt4j/XJYsvxp768iw6h6Z4BC2N3mR
Jow7jDhjaj8jS4sTUwXgqUUUgRawPtzWjDOZ1dSWcZTaiAmCpGIcAY8gMxj5j/XCaTJpxLWMMcJV
UvZmvqn0mexwo+4rcEO1Gu86S9RyayomjTbMUhp9JG7nUwoh3BUGYrYusBqjOJSY1iLGj3Batmys
Opx+qPZ3ZBu4J7pZ5deMNo2bQVXRd4xaHH70ekK1V0qZdFep4toqeewiZxiqhck7S4zRRMnaWwZD
wZoppGgyVIuSma2dl+XGjSfFXRVR3W8pM6stJgvKyH7Ojmqau+8nMcfv7aoAndnrenYNWovmWiVN
iui8uRiHFBdn11WOtikyXQNzUnfhJsySgSG+JhKU91X+FsOKzW2Z6e5RM2AYOaWmcfQd90Fp++6w
yN1QGKqsrjpfEdNAL1Lg6E+V7asFbax1XACSoCeqi5bUIIYNvoIwDj4K0ICj0jXq7qAsrEkPxNjE
MnAnfRAIgZJceQNaa9z1yVQ6B67qvRWWke2znwDRrvZ4PJwujoHIiAx1dehEzZVNANJRYjAuWE82
0AGhLdmckasaR6bZjgOEEVAXfpboQ7br8U6ORBXONn63nLGlr9L8g5Tm1mLY5EWoTTSVy2EVJXHb
bDNGsjzjxhhrgdm6l8OUuau8GYZLVWZyPghJoelRY8jsZJSaKXY1Dwrvh8KqjmqhqAyb01RWAcwX
9QNG0gi/Mbbh/o2MJHn3pjCNKxvZFK5B10NajOmFmNFGGGdssCs7EGEcHU+jlkHd7XK+ElUb2GYC
GgEQCYfXeGuBtybrAtCNB5HHq891RZsFvtOsSzflFOYafhUL83ZasfvyLfgwv7nk4uADBtUIR32M
THNtOU14bgHtsdjIMsVFM6aKBlG603RrAJXMkUaCo9WTzB3sbK/yIHPsTGuyDsAc1/N6hjLG/WK7
3Qclo3JfT20WHZgAHi0GOWVxYCZ5nq5LwFrv2yphPyDpJ4xbm53mXlRZeEKm3infI6TrdTaF+XyR
5r3xMZd5AYwoCfNrL0tHPESjR/ueHXt5YNnC0jdmU2uXgtQMdJ5e1nwwUZTw6PZISINYN5B+pkj4
LxmdMUqFhHGmRkr6Ls2TBIsKnsylGgq7JigVJiOtV8So2lTXYKBVOuNJFCs6aptU6Q6w2lbVBXCz
+EC4DE/8VC3rdAu7i+KnTxPvo52yIKxnjwgaqrqllDNjo9m1aVU7K0sM4zur56HBSG4iK40TZ2AG
pU3qKTyBOgvSwmrku45cwK2l8zX7mpApQJccg/S6HcL6RjgLUcd0aXXTChbHkauY2TphkW1XOj76
fLW0tRiU0p0/YNQfQg3uIOKtOPL2okV4T+PcdaiG2cETP5XiPVfdMD8GS8XEVmXSpPvaLJ0jVRv3
Ga5NnMg8QY1diK3RyurRDKHljBudLa2qXXTov84HrQBRFEHRdmHEOh5EDnS/x0ysErkGhd3t90VH
g0PEy2vbjMzaBBcywQMmsG101xA00sXww8bC7y1eH0yNhHXJ/e/l+ylD+ZOOfYCKkK5NF3luiB+9
H6dmB5BnLAOr1ku51eomjYPebLAlzcht0dXFOCS24ErEyoY9AzxnHHmAqtiwbr2c1uC6skeEtbix
UDfSTZqulK7rLzOvBB6bphT8vqhFniNSzEW+deMhPkDji/a/pi97bohChczERFABnRfjl4cwU2dg
eHBg8eCS9KyjQLMDh96n5lfdwHyz4n5nvCoHTVtFYdHPa0AmRgtNqu/0dU4i1pkYJhZOD4Av85ha
qT7wNdpYD+iGnKeKbN2VlFnCBAAx1S2qFiK0nPgM94D4yKu/Zmkwk+5aesjJeankzZkrk64IalA9
QPpmQFCBM82QAbJOr9+Q/JMaUGUsM8KE0dDvSUj8PtMGxxp9DTY0TgfTQXHGBGw+RLYhWnbWSv2R
NTxqAlA/7kkixFAzrF4KoWEqZgWZJIi1oAS9dj4PJu8aumXojZyyt9qA4Spr2xSPE8P6VoNux8sc
TaMx5sqlmGh6BWIo2bcoc9nUKzFEEHw8xArTCi6R8Fa9VaTNCoUR032rqewQb1/cZf5gL+2aTLXS
Y9WL5CayecOv+rGW44bnBVwcR57WPkI/XjJ9lfTWyoxD7boJdaZiLpcVwXmHyNg3nLY9j2Oluejj
UBznpd3qPopX9azRpMYsGXJttartujsc9RyR1RRnlse62rZv0ELQgLKsSN1T3K49KTTF7lfIddTT
KB4WiaISiWoltRr54Wg2vCJ11FknTG8N2AKuKt03tqy8lkalAEVNeUY95eqZ+GTNDoUpI1lUiRxT
hYqNgTgDx1TrT5D1DEpQUddGSAtnG6UoNKTVVCudpH4ZunDVRa2Gi2jETKPpQzzhl5r1A6wTmsXe
tq8sgBlJPSIxL+1DujPs7eCK2iwvVbqP5ZXOceQ1mYcLSss/zgovWyqrCRwx8PGY/mSOmLtiTOz5
oBPUT5PiaEXQTTJC6x+x86xbWZ02NKaiNdaN3ET9o2U42M18XqgOqbaJx4Qmlde7kfPGRVD6ViU3
DPJ4LfSt2rG3gQPipFgrdIu+WCvcOfFnY7ldEtq21wavlKui73tza2hqR9C6Ww3umuZNyW3CVOym
LFLsPDywtrNidasPWo1qiakqe21f9rH1WxhSifqhLCtnrTs27/F4HiHh9VVlbscuwbwck4QCxFVr
Wvw2nUpxnMZWvZdFdVqzWfZoocp+kOtZZerOOlS7t33SdurGsErIRq1TG5cOws7f0GM1MrAsL/4U
q8yxN2bXN/UBC4D7BqBkpW81By/kOkRRn/nNbNK1hQpoXamzyu2fyRHFEHyWUS4iYkILLV4cyUpJ
yIfFdasbMy5byGOQ+9rqNqvKErJJoVF7qHBF4KPSe8e9MS+FVjVSyCPrgC2YIqBhM+XQO/GtxIMM
0eYliYWtKrn1YrNg6OJA+q73Ne46GcSlgv9I3OmTKfc8+tOMvO18oDbh/TFyE+gGQkKUHrLyVd42
cqtHrWP7Qrh0FlKSH1kMk9o2TpgPTHyPfatsrLArtybyvS1VZptufrY+wueWx7O45S+eyICq9+aO
xpzcstZ9gTX/6Q88mCy//YDPzOY7AsHXEeDdzy0c5/tP/sp1/scTrPMdUerR/3zASz/+9c8n9u1f
fvaYHv5xl9zKK3kNHusOKf35KA+vCsjS/7yWTygINBIe2iDPoqe/9FBe/ND8KhJXzcMHLdcDexFz
zq+n9w3T+q99cHE1i/IPn2wSVvLqT/av4uSJeReU5NL/+T6E+y8d8Ob2hmuf//IcuxvIO6PE1/4F
uve//1smUL7fXZWtePjA+2tOnMvDP/z/v82tSH7/19Mvk1RO+kuvPfQDkm7K+Pf/eXLQOqPvH3DQ
f417/spv99Efebgay3WHNaQucoNXfvrxlXwqY9DvYzF/wOdefS9g6LWHfCvLq+JTd/30KwV7gobg
tce9QOgA0O1foSmST/8Aoowf8Hb5i5S7V16jp3/lj0B+SHo/4MlaXgVXvwTEDQCze/paQ/jyAx6v
dzy1vxxfsUN7+F7vbnxANLS/X/tFvwDneeW1PxPXXBn4fg8HuRw1ko6lW/7ao/6+7OiVB33AV9j8
smUdSZ4eN+OGH/BVfn/28crjfoGI8epPLm9+/9/y6YKNAl73nB/wRfLevSqfvnlJFlct5we804Pb
P77U4TghLf/TUuO5yu9L6Mi39eBD7shzv/Zcrcs5c/+vl+/lO9Xwd3/iocp85gc+P1N3tch9yfCl
aLr7U9PnH7gvRZ/WGS/XK4/+2MOH3D3KPA/8ic9n/eiHnp7UC4f8cOE+68O+vSyPzunzOv/SOT1T
IfwMJ3ZfaLx0Ylzbr4/IT3FKdzXIi6f0TfHyM5zXfenz0nk9Xzf9HOe2FEN/dm5fwcSPiqmf4fTu
S7GXTu/5Ou6nOLe7SvDFc/umhPwJzovsYg8Rx4vnJRCn/fLP4pasri+l9/2pXQsW2JKF9tEnPFqk
nqxknrrUG/yhv2kxW3oRL52WL6+a5Et42MP5dGUrCTmLElE++vXvndOXi/d3ndN9hfzSaT1XXP8M
9+GX2+O+UHmmnHq6o6lyts33993fdPHv21svXfv7phidq89dsqdH/KQ5+hdurr9a+v3Z6dOlXX7k
OqdU/8f/AQAA//8=</cx:binary>
              </cx:geoCache>
            </cx:geography>
          </cx:layoutPr>
          <cx:valueColors>
            <cx:minColor>
              <a:srgbClr val="5CB8E6"/>
            </cx:minColor>
          </cx:valueColors>
        </cx:series>
      </cx:plotAreaRegion>
    </cx:plotArea>
    <cx:legend pos="r" align="min" overlay="0">
      <cx:txPr>
        <a:bodyPr spcFirstLastPara="1" vertOverflow="ellipsis" horzOverflow="overflow" wrap="square" lIns="0" tIns="0" rIns="0" bIns="0" anchor="ctr" anchorCtr="1"/>
        <a:lstStyle/>
        <a:p>
          <a:pPr algn="ctr" rtl="0">
            <a:defRPr>
              <a:latin typeface="Segoe UI" panose="020B0502040204020203" pitchFamily="34" charset="0"/>
              <a:ea typeface="Segoe UI" panose="020B0502040204020203" pitchFamily="34" charset="0"/>
              <a:cs typeface="Segoe UI" panose="020B0502040204020203" pitchFamily="34" charset="0"/>
            </a:defRPr>
          </a:pPr>
          <a:endParaRPr lang="en-US" sz="900" b="0" i="0" u="none" strike="noStrike" baseline="0">
            <a:solidFill>
              <a:sysClr val="windowText" lastClr="000000">
                <a:lumMod val="65000"/>
                <a:lumOff val="35000"/>
              </a:sysClr>
            </a:solidFill>
            <a:latin typeface="Segoe UI" panose="020B0502040204020203" pitchFamily="34" charset="0"/>
            <a:cs typeface="Segoe UI" panose="020B0502040204020203" pitchFamily="34" charset="0"/>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microsoft.com/office/2014/relationships/chartEx" Target="../charts/chartEx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35486</xdr:colOff>
      <xdr:row>0</xdr:row>
      <xdr:rowOff>169957</xdr:rowOff>
    </xdr:from>
    <xdr:ext cx="2084187" cy="401544"/>
    <xdr:pic>
      <xdr:nvPicPr>
        <xdr:cNvPr id="2" name="Imagem 3">
          <a:extLst>
            <a:ext uri="{FF2B5EF4-FFF2-40B4-BE49-F238E27FC236}">
              <a16:creationId xmlns:a16="http://schemas.microsoft.com/office/drawing/2014/main" id="{32F7B812-2854-4C00-9E7E-ECF947435DFB}"/>
            </a:ext>
          </a:extLst>
        </xdr:cNvPr>
        <xdr:cNvPicPr>
          <a:picLocks noChangeAspect="1"/>
        </xdr:cNvPicPr>
      </xdr:nvPicPr>
      <xdr:blipFill rotWithShape="1">
        <a:blip xmlns:r="http://schemas.openxmlformats.org/officeDocument/2006/relationships" r:embed="rId1"/>
        <a:srcRect l="11287" t="42147" r="10164" b="42558"/>
        <a:stretch/>
      </xdr:blipFill>
      <xdr:spPr>
        <a:xfrm>
          <a:off x="151903" y="169957"/>
          <a:ext cx="2084187" cy="4015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645584</xdr:colOff>
      <xdr:row>69</xdr:row>
      <xdr:rowOff>74083</xdr:rowOff>
    </xdr:from>
    <xdr:to>
      <xdr:col>19</xdr:col>
      <xdr:colOff>1818</xdr:colOff>
      <xdr:row>90</xdr:row>
      <xdr:rowOff>0</xdr:rowOff>
    </xdr:to>
    <xdr:graphicFrame macro="">
      <xdr:nvGraphicFramePr>
        <xdr:cNvPr id="3" name="Chart 2">
          <a:extLst>
            <a:ext uri="{FF2B5EF4-FFF2-40B4-BE49-F238E27FC236}">
              <a16:creationId xmlns:a16="http://schemas.microsoft.com/office/drawing/2014/main" id="{42614470-DA42-4535-8716-7EA88ECC1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2900502</xdr:colOff>
      <xdr:row>47</xdr:row>
      <xdr:rowOff>70532</xdr:rowOff>
    </xdr:from>
    <xdr:to>
      <xdr:col>19</xdr:col>
      <xdr:colOff>0</xdr:colOff>
      <xdr:row>69</xdr:row>
      <xdr:rowOff>42333</xdr:rowOff>
    </xdr:to>
    <xdr:graphicFrame macro="">
      <xdr:nvGraphicFramePr>
        <xdr:cNvPr id="4" name="Chart 3">
          <a:extLst>
            <a:ext uri="{FF2B5EF4-FFF2-40B4-BE49-F238E27FC236}">
              <a16:creationId xmlns:a16="http://schemas.microsoft.com/office/drawing/2014/main" id="{AE388952-ED5E-471D-8C10-E4A50A43C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37041</xdr:colOff>
      <xdr:row>47</xdr:row>
      <xdr:rowOff>78441</xdr:rowOff>
    </xdr:from>
    <xdr:to>
      <xdr:col>10</xdr:col>
      <xdr:colOff>613833</xdr:colOff>
      <xdr:row>69</xdr:row>
      <xdr:rowOff>63500</xdr:rowOff>
    </xdr:to>
    <xdr:graphicFrame macro="">
      <xdr:nvGraphicFramePr>
        <xdr:cNvPr id="5" name="Chart 4">
          <a:extLst>
            <a:ext uri="{FF2B5EF4-FFF2-40B4-BE49-F238E27FC236}">
              <a16:creationId xmlns:a16="http://schemas.microsoft.com/office/drawing/2014/main" id="{80299197-4C74-4B49-90F7-FBA17FDA88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47624</xdr:colOff>
      <xdr:row>69</xdr:row>
      <xdr:rowOff>82567</xdr:rowOff>
    </xdr:from>
    <xdr:to>
      <xdr:col>10</xdr:col>
      <xdr:colOff>613833</xdr:colOff>
      <xdr:row>90</xdr:row>
      <xdr:rowOff>10583</xdr:rowOff>
    </xdr:to>
    <xdr:graphicFrame macro="">
      <xdr:nvGraphicFramePr>
        <xdr:cNvPr id="6" name="Chart 5">
          <a:extLst>
            <a:ext uri="{FF2B5EF4-FFF2-40B4-BE49-F238E27FC236}">
              <a16:creationId xmlns:a16="http://schemas.microsoft.com/office/drawing/2014/main" id="{73A84CA5-151D-4003-A22A-B4775D92F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645583</xdr:colOff>
      <xdr:row>47</xdr:row>
      <xdr:rowOff>73023</xdr:rowOff>
    </xdr:from>
    <xdr:to>
      <xdr:col>17</xdr:col>
      <xdr:colOff>2871543</xdr:colOff>
      <xdr:row>69</xdr:row>
      <xdr:rowOff>52916</xdr:rowOff>
    </xdr:to>
    <xdr:grpSp>
      <xdr:nvGrpSpPr>
        <xdr:cNvPr id="7" name="Group 6">
          <a:extLst>
            <a:ext uri="{FF2B5EF4-FFF2-40B4-BE49-F238E27FC236}">
              <a16:creationId xmlns:a16="http://schemas.microsoft.com/office/drawing/2014/main" id="{68A3E73B-222A-4EEB-8959-CE61C58A91A8}"/>
            </a:ext>
          </a:extLst>
        </xdr:cNvPr>
        <xdr:cNvGrpSpPr/>
      </xdr:nvGrpSpPr>
      <xdr:grpSpPr>
        <a:xfrm>
          <a:off x="8030259" y="20691847"/>
          <a:ext cx="7996990" cy="4170893"/>
          <a:chOff x="5783792" y="9058273"/>
          <a:chExt cx="5184000" cy="3816000"/>
        </a:xfrm>
      </xdr:grpSpPr>
      <mc:AlternateContent xmlns:mc="http://schemas.openxmlformats.org/markup-compatibility/2006">
        <mc:Choice xmlns:cx6="http://schemas.microsoft.com/office/drawing/2016/5/12/chartex" Requires="cx6">
          <xdr:graphicFrame macro="">
            <xdr:nvGraphicFramePr>
              <xdr:cNvPr id="8" name="Chart 7">
                <a:extLst>
                  <a:ext uri="{FF2B5EF4-FFF2-40B4-BE49-F238E27FC236}">
                    <a16:creationId xmlns:a16="http://schemas.microsoft.com/office/drawing/2014/main" id="{B1820883-8338-C1AA-059E-E2D7BF2A74C3}"/>
                  </a:ext>
                </a:extLst>
              </xdr:cNvPr>
              <xdr:cNvGraphicFramePr/>
            </xdr:nvGraphicFramePr>
            <xdr:xfrm>
              <a:off x="5783792" y="9058273"/>
              <a:ext cx="5184000" cy="381600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5783792" y="9058273"/>
                <a:ext cx="5184000" cy="3816000"/>
              </a:xfrm>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sp macro="" textlink="">
        <xdr:nvSpPr>
          <xdr:cNvPr id="9" name="TextBox 8">
            <a:extLst>
              <a:ext uri="{FF2B5EF4-FFF2-40B4-BE49-F238E27FC236}">
                <a16:creationId xmlns:a16="http://schemas.microsoft.com/office/drawing/2014/main" id="{06A34F18-1CEC-10EB-5551-978C8FAF4278}"/>
              </a:ext>
            </a:extLst>
          </xdr:cNvPr>
          <xdr:cNvSpPr txBox="1"/>
        </xdr:nvSpPr>
        <xdr:spPr>
          <a:xfrm>
            <a:off x="8244416" y="11059585"/>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8%</a:t>
            </a:r>
          </a:p>
        </xdr:txBody>
      </xdr:sp>
      <xdr:sp macro="" textlink="">
        <xdr:nvSpPr>
          <xdr:cNvPr id="10" name="TextBox 9">
            <a:extLst>
              <a:ext uri="{FF2B5EF4-FFF2-40B4-BE49-F238E27FC236}">
                <a16:creationId xmlns:a16="http://schemas.microsoft.com/office/drawing/2014/main" id="{8ADC277E-EFBE-5FF8-8430-979497851C70}"/>
              </a:ext>
            </a:extLst>
          </xdr:cNvPr>
          <xdr:cNvSpPr txBox="1"/>
        </xdr:nvSpPr>
        <xdr:spPr>
          <a:xfrm>
            <a:off x="8885044" y="10452028"/>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4%</a:t>
            </a:r>
          </a:p>
        </xdr:txBody>
      </xdr:sp>
      <xdr:sp macro="" textlink="">
        <xdr:nvSpPr>
          <xdr:cNvPr id="11" name="TextBox 10">
            <a:extLst>
              <a:ext uri="{FF2B5EF4-FFF2-40B4-BE49-F238E27FC236}">
                <a16:creationId xmlns:a16="http://schemas.microsoft.com/office/drawing/2014/main" id="{587936B6-F268-A643-F796-04D17DCEFD40}"/>
              </a:ext>
            </a:extLst>
          </xdr:cNvPr>
          <xdr:cNvSpPr txBox="1"/>
        </xdr:nvSpPr>
        <xdr:spPr>
          <a:xfrm>
            <a:off x="8587008" y="11698598"/>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3%</a:t>
            </a:r>
          </a:p>
        </xdr:txBody>
      </xdr:sp>
      <xdr:sp macro="" textlink="">
        <xdr:nvSpPr>
          <xdr:cNvPr id="12" name="TextBox 11">
            <a:extLst>
              <a:ext uri="{FF2B5EF4-FFF2-40B4-BE49-F238E27FC236}">
                <a16:creationId xmlns:a16="http://schemas.microsoft.com/office/drawing/2014/main" id="{C683EFB6-1366-A8C5-F180-AA3894E54AE2}"/>
              </a:ext>
            </a:extLst>
          </xdr:cNvPr>
          <xdr:cNvSpPr txBox="1"/>
        </xdr:nvSpPr>
        <xdr:spPr>
          <a:xfrm>
            <a:off x="8056034" y="12098867"/>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3%</a:t>
            </a:r>
          </a:p>
        </xdr:txBody>
      </xdr:sp>
      <xdr:sp macro="" textlink="">
        <xdr:nvSpPr>
          <xdr:cNvPr id="13" name="Rectangle 12">
            <a:extLst>
              <a:ext uri="{FF2B5EF4-FFF2-40B4-BE49-F238E27FC236}">
                <a16:creationId xmlns:a16="http://schemas.microsoft.com/office/drawing/2014/main" id="{C8EA3A48-4C46-0376-3AD9-AFFB2D7DA460}"/>
              </a:ext>
            </a:extLst>
          </xdr:cNvPr>
          <xdr:cNvSpPr/>
        </xdr:nvSpPr>
        <xdr:spPr>
          <a:xfrm>
            <a:off x="9281584" y="12213167"/>
            <a:ext cx="158750" cy="137583"/>
          </a:xfrm>
          <a:prstGeom prst="rect">
            <a:avLst/>
          </a:prstGeom>
          <a:solidFill>
            <a:srgbClr val="2198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4" name="TextBox 13">
            <a:extLst>
              <a:ext uri="{FF2B5EF4-FFF2-40B4-BE49-F238E27FC236}">
                <a16:creationId xmlns:a16="http://schemas.microsoft.com/office/drawing/2014/main" id="{CE271415-C5BE-0E5A-FE5E-3E41222E1A9E}"/>
              </a:ext>
            </a:extLst>
          </xdr:cNvPr>
          <xdr:cNvSpPr txBox="1"/>
        </xdr:nvSpPr>
        <xdr:spPr>
          <a:xfrm>
            <a:off x="9417049" y="12136968"/>
            <a:ext cx="137795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11% - Pulverizado</a:t>
            </a:r>
          </a:p>
        </xdr:txBody>
      </xdr:sp>
    </xdr:grpSp>
    <xdr:clientData/>
  </xdr:twoCellAnchor>
  <xdr:oneCellAnchor>
    <xdr:from>
      <xdr:col>1</xdr:col>
      <xdr:colOff>35486</xdr:colOff>
      <xdr:row>0</xdr:row>
      <xdr:rowOff>169957</xdr:rowOff>
    </xdr:from>
    <xdr:ext cx="2084187" cy="401544"/>
    <xdr:pic>
      <xdr:nvPicPr>
        <xdr:cNvPr id="19" name="Imagem 3">
          <a:extLst>
            <a:ext uri="{FF2B5EF4-FFF2-40B4-BE49-F238E27FC236}">
              <a16:creationId xmlns:a16="http://schemas.microsoft.com/office/drawing/2014/main" id="{4012D720-8DC5-4EBB-B4BF-1CE4C5FBCAD0}"/>
            </a:ext>
          </a:extLst>
        </xdr:cNvPr>
        <xdr:cNvPicPr>
          <a:picLocks noChangeAspect="1"/>
        </xdr:cNvPicPr>
      </xdr:nvPicPr>
      <xdr:blipFill rotWithShape="1">
        <a:blip xmlns:r="http://schemas.openxmlformats.org/officeDocument/2006/relationships" r:embed="rId6"/>
        <a:srcRect l="11287" t="42147" r="10164" b="42558"/>
        <a:stretch/>
      </xdr:blipFill>
      <xdr:spPr>
        <a:xfrm>
          <a:off x="149786" y="169957"/>
          <a:ext cx="2084187" cy="4015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35486</xdr:colOff>
      <xdr:row>0</xdr:row>
      <xdr:rowOff>169957</xdr:rowOff>
    </xdr:from>
    <xdr:ext cx="2084187" cy="401544"/>
    <xdr:pic>
      <xdr:nvPicPr>
        <xdr:cNvPr id="3" name="Imagem 3">
          <a:extLst>
            <a:ext uri="{FF2B5EF4-FFF2-40B4-BE49-F238E27FC236}">
              <a16:creationId xmlns:a16="http://schemas.microsoft.com/office/drawing/2014/main" id="{920B2429-0910-481D-804C-00D7BFA3DE04}"/>
            </a:ext>
          </a:extLst>
        </xdr:cNvPr>
        <xdr:cNvPicPr>
          <a:picLocks noChangeAspect="1"/>
        </xdr:cNvPicPr>
      </xdr:nvPicPr>
      <xdr:blipFill rotWithShape="1">
        <a:blip xmlns:r="http://schemas.openxmlformats.org/officeDocument/2006/relationships" r:embed="rId1"/>
        <a:srcRect l="11287" t="42147" r="10164" b="42558"/>
        <a:stretch/>
      </xdr:blipFill>
      <xdr:spPr>
        <a:xfrm>
          <a:off x="149786" y="169957"/>
          <a:ext cx="2084187" cy="401544"/>
        </a:xfrm>
        <a:prstGeom prst="rect">
          <a:avLst/>
        </a:prstGeom>
      </xdr:spPr>
    </xdr:pic>
    <xdr:clientData/>
  </xdr:oneCellAnchor>
</xdr:wsDr>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Santa%20Catarina%20(state)" TargetMode="External"/><Relationship Id="rId13" Type="http://schemas.openxmlformats.org/officeDocument/2006/relationships/hyperlink" Target="https://www.bing.com/th?id=OSK.bd02a1429938bca1dc5bc8304028bb0c&amp;qlt=95" TargetMode="External"/><Relationship Id="rId18" Type="http://schemas.openxmlformats.org/officeDocument/2006/relationships/hyperlink" Target="https://www.bing.com/images/search?form=xlimg&amp;q=Par%c3%a1" TargetMode="External"/><Relationship Id="rId3" Type="http://schemas.openxmlformats.org/officeDocument/2006/relationships/hyperlink" Target="https://www.bing.com/th?id=OSK.29751007cf160ea55ecca603ade1abb0&amp;qlt=95" TargetMode="External"/><Relationship Id="rId7" Type="http://schemas.openxmlformats.org/officeDocument/2006/relationships/hyperlink" Target="https://www.bing.com/th?id=OSK.96286a1b4735a8da35f6bbec4fbdfee2&amp;qlt=95" TargetMode="External"/><Relationship Id="rId12" Type="http://schemas.openxmlformats.org/officeDocument/2006/relationships/hyperlink" Target="https://www.bing.com/images/search?form=xlimg&amp;q=Mato%20Grosso" TargetMode="External"/><Relationship Id="rId17" Type="http://schemas.openxmlformats.org/officeDocument/2006/relationships/hyperlink" Target="https://www.bing.com/th?id=OSK.3f1aa2cecd23eda384e0adf561cc8902&amp;qlt=95" TargetMode="External"/><Relationship Id="rId2" Type="http://schemas.openxmlformats.org/officeDocument/2006/relationships/hyperlink" Target="https://www.bing.com/images/search?form=xlimg&amp;q=S%c3%a3o%20Paulo%20(state)" TargetMode="External"/><Relationship Id="rId16" Type="http://schemas.openxmlformats.org/officeDocument/2006/relationships/hyperlink" Target="https://www.bing.com/images/search?form=xlimg&amp;q=Rio%20Grande%20do%20Sul" TargetMode="External"/><Relationship Id="rId20" Type="http://schemas.openxmlformats.org/officeDocument/2006/relationships/hyperlink" Target="https://www.bing.com/images/search?form=xlimg&amp;q=Pernambuco" TargetMode="External"/><Relationship Id="rId1" Type="http://schemas.openxmlformats.org/officeDocument/2006/relationships/hyperlink" Target="https://www.bing.com/th?id=OSK.7695e189827b940b156ea581416a4286&amp;qlt=95" TargetMode="External"/><Relationship Id="rId6" Type="http://schemas.openxmlformats.org/officeDocument/2006/relationships/hyperlink" Target="https://www.bing.com/images/search?form=xlimg&amp;q=Goi%c3%a1s" TargetMode="External"/><Relationship Id="rId11" Type="http://schemas.openxmlformats.org/officeDocument/2006/relationships/hyperlink" Target="https://www.bing.com/th?id=OSK.0082cb89dce5beef60cc242fa84879b9&amp;qlt=95" TargetMode="External"/><Relationship Id="rId5" Type="http://schemas.openxmlformats.org/officeDocument/2006/relationships/hyperlink" Target="https://www.bing.com/th?id=OSK.68d4a005d24a76aec4298ebda56c17de&amp;qlt=95" TargetMode="External"/><Relationship Id="rId15" Type="http://schemas.openxmlformats.org/officeDocument/2006/relationships/hyperlink" Target="https://www.bing.com/th?id=OSK.7bf0281a457e9e15fbe8aee95bf85562&amp;qlt=95" TargetMode="External"/><Relationship Id="rId10" Type="http://schemas.openxmlformats.org/officeDocument/2006/relationships/hyperlink" Target="https://www.bing.com/images/search?form=xlimg&amp;q=Federal%20District%20(Brazil)" TargetMode="External"/><Relationship Id="rId19" Type="http://schemas.openxmlformats.org/officeDocument/2006/relationships/hyperlink" Target="https://www.bing.com/th?id=OSK.1a81c0cb9c1bf94f97de66c7dbf24592&amp;qlt=95" TargetMode="External"/><Relationship Id="rId4" Type="http://schemas.openxmlformats.org/officeDocument/2006/relationships/hyperlink" Target="https://www.bing.com/images/search?form=xlimg&amp;q=Minas%20Gerais" TargetMode="External"/><Relationship Id="rId9" Type="http://schemas.openxmlformats.org/officeDocument/2006/relationships/hyperlink" Target="https://www.bing.com/th?id=OSK.14910895dabf26c75c08467f23c20f8b&amp;qlt=95" TargetMode="External"/><Relationship Id="rId14" Type="http://schemas.openxmlformats.org/officeDocument/2006/relationships/hyperlink" Target="https://www.bing.com/images/search?form=xlimg&amp;q=Rio%20de%20Janeiro%20(state)"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Srd>
</file>

<file path=xl/richData/rdarray.xml><?xml version="1.0" encoding="utf-8"?>
<arrayData xmlns="http://schemas.microsoft.com/office/spreadsheetml/2017/richdata2" count="10">
  <a r="1">
    <v t="r">5</v>
  </a>
  <a r="1">
    <v t="r">15</v>
  </a>
  <a r="1">
    <v t="r">24</v>
  </a>
  <a r="1">
    <v t="r">33</v>
  </a>
  <a r="4">
    <v t="r">43</v>
    <v t="r">44</v>
    <v t="r">45</v>
    <v t="r">46</v>
  </a>
  <a r="1">
    <v t="r">55</v>
  </a>
  <a r="1">
    <v t="r">64</v>
  </a>
  <a r="1">
    <v t="r">73</v>
  </a>
  <a r="1">
    <v t="r">82</v>
  </a>
  <a r="1">
    <v t="r">91</v>
  </a>
</arrayData>
</file>

<file path=xl/richData/rdrichvalue.xml><?xml version="1.0" encoding="utf-8"?>
<rvData xmlns="http://schemas.microsoft.com/office/spreadsheetml/2017/richdata" count="95">
  <rv s="0">
    <v>536870912</v>
    <v>São Paulo</v>
    <v>4d56ae2d-1aad-8c4f-dca2-4456acc12f89</v>
    <v>pt-BR</v>
    <v>Map</v>
  </rv>
  <rv s="1">
    <fb>248209.4</fb>
    <v>10</v>
  </rv>
  <rv s="0">
    <v>536870912</v>
    <v>São Paulo</v>
    <v>c6cf2f6e-626c-4267-ae48-9e13ea74d2b9</v>
    <v>pt-BR</v>
    <v>Map</v>
  </rv>
  <rv s="2">
    <v>0</v>
    <v>8</v>
    <v>0</v>
    <v>7</v>
    <v>0</v>
    <v>Image of São Paulo</v>
  </rv>
  <rv s="3">
    <v>https://www.bing.com/search?q=S%c3%a3o+Paulo+estado&amp;form=skydnc</v>
    <v>Aprenda mais com Bing</v>
  </rv>
  <rv s="0">
    <v>805306368</v>
    <v>Tarcísio de Freitas (Governador)</v>
    <v>a0d931ae-b6e5-eae6-15ae-9ea3265ba02e</v>
    <v>pt-BR</v>
    <v>Generic</v>
  </rv>
  <rv s="4">
    <v>0</v>
  </rv>
  <rv s="0">
    <v>536870912</v>
    <v>Brasil</v>
    <v>a828cf41-b938-49fe-7986-4b336618d413</v>
    <v>pt-BR</v>
    <v>Map</v>
  </rv>
  <rv s="1">
    <fb>45595497</fb>
    <v>10</v>
  </rv>
  <rv s="5">
    <v>#VALUE!</v>
    <v>pt-BR</v>
    <v>4d56ae2d-1aad-8c4f-dca2-4456acc12f89</v>
    <v>536870912</v>
    <v>1</v>
    <v>2</v>
    <v>3</v>
    <v>4</v>
    <v>São Paulo</v>
    <v>6</v>
    <v>7</v>
    <v>Map</v>
    <v>8</v>
    <v>9</v>
    <v>BR-SP</v>
    <v>1</v>
    <v>2</v>
    <v>São Paulo is one of the 26 states of the Federative Republic of Brazil and is named after Saint Paul of Tarsus. It is located in the Southeast Region and is limited by the states of Minas Gerais to the north and northeast, Paraná to the south, ...</v>
    <v>3</v>
    <v>4</v>
    <v>6</v>
    <v>2</v>
    <v>São Paulo</v>
    <v>7</v>
    <v>8</v>
    <v>São Paulo</v>
    <v>mdp/vdpid/29821</v>
  </rv>
  <rv s="0">
    <v>536870912</v>
    <v>Minas Gerais</v>
    <v>974e2066-dee0-aecd-c973-50babb750033</v>
    <v>pt-BR</v>
    <v>Map</v>
  </rv>
  <rv s="1">
    <fb>586514</fb>
    <v>10</v>
  </rv>
  <rv s="0">
    <v>536870912</v>
    <v>Belo Horizonte</v>
    <v>7d1c2d93-f138-98ba-29b3-c39c6ce5b7d8</v>
    <v>pt-BR</v>
    <v>Map</v>
  </rv>
  <rv s="2">
    <v>1</v>
    <v>8</v>
    <v>11</v>
    <v>7</v>
    <v>0</v>
    <v>Image of Minas Gerais</v>
  </rv>
  <rv s="3">
    <v>https://www.bing.com/search?q=Minas+Gerais&amp;form=skydnc</v>
    <v>Aprenda mais com Bing</v>
  </rv>
  <rv s="0">
    <v>805306368</v>
    <v>Romeu Zema (Governador)</v>
    <v>0b49577b-e092-186e-762c-adfe99963c80</v>
    <v>pt-BR</v>
    <v>Generic</v>
  </rv>
  <rv s="4">
    <v>1</v>
  </rv>
  <rv s="1">
    <fb>21119536</fb>
    <v>10</v>
  </rv>
  <rv s="5">
    <v>#VALUE!</v>
    <v>pt-BR</v>
    <v>974e2066-dee0-aecd-c973-50babb750033</v>
    <v>536870912</v>
    <v>1</v>
    <v>13</v>
    <v>3</v>
    <v>4</v>
    <v>Minas Gerais</v>
    <v>6</v>
    <v>7</v>
    <v>Map</v>
    <v>8</v>
    <v>14</v>
    <v>BR-MG</v>
    <v>11</v>
    <v>12</v>
    <v>Minas Gerais is one of the 27 federative units of Brazil, being the fourth largest state by area and the second largest in number of inhabitants with a population of 20,539,989 according to the 2022 census. Located in the Southeast Region of the ...</v>
    <v>13</v>
    <v>14</v>
    <v>16</v>
    <v>12</v>
    <v>Minas Gerais</v>
    <v>7</v>
    <v>17</v>
    <v>Minas Gerais</v>
    <v>mdp/vdpid/37692</v>
  </rv>
  <rv s="0">
    <v>536870912</v>
    <v>Goiás</v>
    <v>38750702-647a-b72a-2cec-e4a55e078f36</v>
    <v>pt-BR</v>
    <v>Map</v>
  </rv>
  <rv s="1">
    <fb>340086</fb>
    <v>10</v>
  </rv>
  <rv s="0">
    <v>536870912</v>
    <v>Goiânia</v>
    <v>1829f4c1-96fd-bd18-3015-b31e76f2f860</v>
    <v>pt-BR</v>
    <v>Map</v>
  </rv>
  <rv s="2">
    <v>2</v>
    <v>8</v>
    <v>15</v>
    <v>7</v>
    <v>0</v>
    <v>Image of Goiás</v>
  </rv>
  <rv s="3">
    <v>https://www.bing.com/search?q=Goi%c3%a1s&amp;form=skydnc</v>
    <v>Aprenda mais com Bing</v>
  </rv>
  <rv s="0">
    <v>805306368</v>
    <v>Ronaldo Caiado (Governador)</v>
    <v>9ca0a890-509d-b68d-cec0-182352886568</v>
    <v>pt-BR</v>
    <v>Generic</v>
  </rv>
  <rv s="4">
    <v>2</v>
  </rv>
  <rv s="1">
    <fb>6778772</fb>
    <v>10</v>
  </rv>
  <rv s="5">
    <v>#VALUE!</v>
    <v>pt-BR</v>
    <v>38750702-647a-b72a-2cec-e4a55e078f36</v>
    <v>536870912</v>
    <v>1</v>
    <v>17</v>
    <v>3</v>
    <v>4</v>
    <v>Goiás</v>
    <v>6</v>
    <v>7</v>
    <v>Map</v>
    <v>8</v>
    <v>14</v>
    <v>BR-GO</v>
    <v>20</v>
    <v>21</v>
    <v>Goiás is a Brazilian state located in the Center-West region. Goiás borders the Federal District and the states of Tocantins, Bahia, Minas Gerais, Mato Grosso do Sul and Mato Grosso. The state capital is Goiânia. With 7.2 million inhabitants, ...</v>
    <v>22</v>
    <v>23</v>
    <v>25</v>
    <v>21</v>
    <v>Goiás</v>
    <v>7</v>
    <v>26</v>
    <v>Goiás</v>
    <v>mdp/vdpid/12285</v>
  </rv>
  <rv s="0">
    <v>536870912</v>
    <v>Santa Catarina</v>
    <v>6262969d-76c7-e65f-1be5-668011a93ff0</v>
    <v>pt-BR</v>
    <v>Map</v>
  </rv>
  <rv s="1">
    <fb>95730.7</fb>
    <v>10</v>
  </rv>
  <rv s="0">
    <v>536870912</v>
    <v>Florianópolis</v>
    <v>21bdeb41-fb0e-9537-f2bb-6ca2732f1d96</v>
    <v>pt-BR</v>
    <v>Map</v>
  </rv>
  <rv s="2">
    <v>3</v>
    <v>8</v>
    <v>18</v>
    <v>7</v>
    <v>0</v>
    <v>Image of Santa Catarina</v>
  </rv>
  <rv s="3">
    <v>https://www.bing.com/search?q=Santa+Catarina&amp;form=skydnc</v>
    <v>Aprenda mais com Bing</v>
  </rv>
  <rv s="0">
    <v>805306368</v>
    <v>Jorginho Mello (Governador)</v>
    <v>435e3e8f-9115-80bc-41ec-9f57a3d2e500</v>
    <v>pt-BR</v>
    <v>Generic</v>
  </rv>
  <rv s="4">
    <v>3</v>
  </rv>
  <rv s="0">
    <v>536870912</v>
    <v>Joinville</v>
    <v>5e86234b-4bd7-a488-c6bc-8ed280c1c890</v>
    <v>pt-BR</v>
    <v>Map</v>
  </rv>
  <rv s="1">
    <fb>7001161</fb>
    <v>10</v>
  </rv>
  <rv s="5">
    <v>#VALUE!</v>
    <v>pt-BR</v>
    <v>6262969d-76c7-e65f-1be5-668011a93ff0</v>
    <v>536870912</v>
    <v>1</v>
    <v>20</v>
    <v>3</v>
    <v>4</v>
    <v>Santa Catarina</v>
    <v>6</v>
    <v>7</v>
    <v>Map</v>
    <v>8</v>
    <v>14</v>
    <v>BR-SC</v>
    <v>29</v>
    <v>30</v>
    <v>Santa Catarina is one of the 27 federative units of Brazil. It is located in the centre of the country's Southern region. It is bordered to the north by the state of Paraná, to the south by the state of Rio Grande do Sul, to the east by the ...</v>
    <v>31</v>
    <v>32</v>
    <v>34</v>
    <v>35</v>
    <v>Santa Catarina</v>
    <v>7</v>
    <v>36</v>
    <v>Santa Catarina</v>
    <v>mdp/vdpid/29612</v>
  </rv>
  <rv s="0">
    <v>536870912</v>
    <v>Federal District</v>
    <v>88dfc3b6-8e7a-694d-61b2-96d14f226ec4</v>
    <v>pt-BR</v>
    <v>Map</v>
  </rv>
  <rv s="1">
    <fb>5760.8</fb>
    <v>10</v>
  </rv>
  <rv s="0">
    <v>536870912</v>
    <v>Brasília</v>
    <v>0f4c1a26-f33c-b6de-a63f-578da6617369</v>
    <v>pt-BR</v>
    <v>Map</v>
  </rv>
  <rv s="2">
    <v>4</v>
    <v>8</v>
    <v>21</v>
    <v>7</v>
    <v>0</v>
    <v>Image of Federal District</v>
  </rv>
  <rv s="3">
    <v>https://www.bing.com/search?q=Distrito+Federal+Brasil&amp;form=skydnc</v>
    <v>Aprenda mais com Bing</v>
  </rv>
  <rv s="0">
    <v>805306368</v>
    <v>Ibaneis Rocha (Governador)</v>
    <v>57245eaa-8160-7a5c-b756-608805c52133</v>
    <v>pt-BR</v>
    <v>Generic</v>
  </rv>
  <rv s="0">
    <v>805306368</v>
    <v>Damares Alves (Senado)</v>
    <v>660fd674-bcb2-b6bb-c1d4-a983df83078f</v>
    <v>pt-BR</v>
    <v>Generic</v>
  </rv>
  <rv s="0">
    <v>805306368</v>
    <v>Izalci Lucas (Senado)</v>
    <v>738a22f9-28aa-39b2-1902-9cc1421471ad</v>
    <v>pt-BR</v>
    <v>Generic</v>
  </rv>
  <rv s="0">
    <v>805306368</v>
    <v>Leila Barros (Senado)</v>
    <v>24f9d264-fb70-785c-4b29-417717f7f396</v>
    <v>pt-BR</v>
    <v>Generic</v>
  </rv>
  <rv s="4">
    <v>4</v>
  </rv>
  <rv s="1">
    <fb>3039444</fb>
    <v>10</v>
  </rv>
  <rv s="5">
    <v>#VALUE!</v>
    <v>pt-BR</v>
    <v>88dfc3b6-8e7a-694d-61b2-96d14f226ec4</v>
    <v>536870912</v>
    <v>1</v>
    <v>23</v>
    <v>3</v>
    <v>4</v>
    <v>Federal District</v>
    <v>6</v>
    <v>7</v>
    <v>Map</v>
    <v>8</v>
    <v>14</v>
    <v>BR-DF</v>
    <v>39</v>
    <v>40</v>
    <v>The Federal District is one of 27 federative units of Brazil. Located in the Center-West Region, it is the smallest Brazilian federal unit and the only one that has no municipalities, being divided into 33 administrative regions. The federal ...</v>
    <v>41</v>
    <v>42</v>
    <v>47</v>
    <v>40</v>
    <v>Federal District</v>
    <v>7</v>
    <v>48</v>
    <v>Federal District</v>
    <v>mdp/vdpid/9132</v>
  </rv>
  <rv s="0">
    <v>536870912</v>
    <v>Mato Grosso</v>
    <v>af05c757-4d77-813e-b8eb-97635c07f37a</v>
    <v>pt-BR</v>
    <v>Map</v>
  </rv>
  <rv s="1">
    <fb>903357</fb>
    <v>10</v>
  </rv>
  <rv s="0">
    <v>536870912</v>
    <v>Cuiabá</v>
    <v>40ab2387-3bef-ed49-417a-241a85867199</v>
    <v>pt-BR</v>
    <v>Map</v>
  </rv>
  <rv s="2">
    <v>5</v>
    <v>8</v>
    <v>24</v>
    <v>7</v>
    <v>0</v>
    <v>Image of Mato Grosso</v>
  </rv>
  <rv s="3">
    <v>https://www.bing.com/search?q=Mato+Grosso&amp;form=skydnc</v>
    <v>Aprenda mais com Bing</v>
  </rv>
  <rv s="0">
    <v>805306368</v>
    <v>Mauro Mendes (Governador)</v>
    <v>89fde148-6595-30ce-b8c6-035fd8e99daf</v>
    <v>pt-BR</v>
    <v>Generic</v>
  </rv>
  <rv s="4">
    <v>5</v>
  </rv>
  <rv s="1">
    <fb>3344544</fb>
    <v>10</v>
  </rv>
  <rv s="5">
    <v>#VALUE!</v>
    <v>pt-BR</v>
    <v>af05c757-4d77-813e-b8eb-97635c07f37a</v>
    <v>536870912</v>
    <v>1</v>
    <v>26</v>
    <v>3</v>
    <v>4</v>
    <v>Mato Grosso</v>
    <v>6</v>
    <v>7</v>
    <v>Map</v>
    <v>8</v>
    <v>14</v>
    <v>BR-MT</v>
    <v>51</v>
    <v>52</v>
    <v>Mato Grosso is one of the states of Brazil, the third largest by area, located in the Central-West region. The state has 1.66% of the Brazilian population and is responsible for 1.9% of the Brazilian GDP.</v>
    <v>53</v>
    <v>54</v>
    <v>56</v>
    <v>52</v>
    <v>Mato Grosso</v>
    <v>7</v>
    <v>57</v>
    <v>Mato Grosso</v>
    <v>mdp/vdpid/20600</v>
  </rv>
  <rv s="0">
    <v>536870912</v>
    <v>Rio de Janeiro</v>
    <v>3f5a22fa-26bd-86f9-0345-3a6206e8aab5</v>
    <v>pt-BR</v>
    <v>Map</v>
  </rv>
  <rv s="1">
    <fb>43696.1</fb>
    <v>10</v>
  </rv>
  <rv s="0">
    <v>536870912</v>
    <v>Rio de Janeiro</v>
    <v>bd69fe3d-bddf-02b9-aeb0-0384ff4b73dd</v>
    <v>pt-BR</v>
    <v>Map</v>
  </rv>
  <rv s="2">
    <v>6</v>
    <v>8</v>
    <v>27</v>
    <v>7</v>
    <v>0</v>
    <v>Image of Rio de Janeiro</v>
  </rv>
  <rv s="3">
    <v>https://www.bing.com/search?q=Rio+de+Janeiro+estado&amp;form=skydnc</v>
    <v>Aprenda mais com Bing</v>
  </rv>
  <rv s="0">
    <v>805306368</v>
    <v>Cláudio Castro (Governador)</v>
    <v>4f6be35e-fc81-e7c7-4845-05268a59263a</v>
    <v>pt-BR</v>
    <v>Generic</v>
  </rv>
  <rv s="4">
    <v>6</v>
  </rv>
  <rv s="1">
    <fb>16718956</fb>
    <v>10</v>
  </rv>
  <rv s="5">
    <v>#VALUE!</v>
    <v>pt-BR</v>
    <v>3f5a22fa-26bd-86f9-0345-3a6206e8aab5</v>
    <v>536870912</v>
    <v>1</v>
    <v>29</v>
    <v>3</v>
    <v>4</v>
    <v>Rio de Janeiro</v>
    <v>6</v>
    <v>7</v>
    <v>Map</v>
    <v>8</v>
    <v>14</v>
    <v>BR-RJ</v>
    <v>60</v>
    <v>61</v>
    <v>Rio de Janeiro is one of the 27 federative units of Brazil. It has the second largest economy of Brazil, with the largest being that of the state of São Paulo. The state, which has 8.2% of the Brazilian population, is responsible for 9.2% of the ...</v>
    <v>62</v>
    <v>63</v>
    <v>65</v>
    <v>61</v>
    <v>Rio de Janeiro</v>
    <v>7</v>
    <v>66</v>
    <v>Rio de Janeiro</v>
    <v>mdp/vdpid/27818</v>
  </rv>
  <rv s="0">
    <v>536870912</v>
    <v>Rio Grande do Sul</v>
    <v>9644dbbf-be0c-de9c-a534-3d7ff4801a8b</v>
    <v>pt-BR</v>
    <v>Map</v>
  </rv>
  <rv s="1">
    <fb>281707.09999999998</fb>
    <v>10</v>
  </rv>
  <rv s="0">
    <v>536870912</v>
    <v>Porto Alegre</v>
    <v>59476ac7-9b13-46ab-560e-cdac4510fa7a</v>
    <v>pt-BR</v>
    <v>Map</v>
  </rv>
  <rv s="2">
    <v>7</v>
    <v>8</v>
    <v>30</v>
    <v>7</v>
    <v>0</v>
    <v>Image of Rio Grande do Sul</v>
  </rv>
  <rv s="3">
    <v>https://www.bing.com/search?q=Rio+Grande+do+Sul&amp;form=skydnc</v>
    <v>Aprenda mais com Bing</v>
  </rv>
  <rv s="0">
    <v>805306368</v>
    <v>Eduardo Leite (Governador)</v>
    <v>d1404a79-7938-b7c4-f205-661c23e903bb</v>
    <v>pt-BR</v>
    <v>Generic</v>
  </rv>
  <rv s="4">
    <v>7</v>
  </rv>
  <rv s="1">
    <fb>11322895</fb>
    <v>10</v>
  </rv>
  <rv s="5">
    <v>#VALUE!</v>
    <v>pt-BR</v>
    <v>9644dbbf-be0c-de9c-a534-3d7ff4801a8b</v>
    <v>536870912</v>
    <v>1</v>
    <v>32</v>
    <v>3</v>
    <v>4</v>
    <v>Rio Grande do Sul</v>
    <v>6</v>
    <v>7</v>
    <v>Map</v>
    <v>8</v>
    <v>14</v>
    <v>BR-RS</v>
    <v>69</v>
    <v>70</v>
    <v>Rio Grande do Sul is a state in the southern region of Brazil. It is the fifth-most populous state and the ninth-largest by area. Located in the southernmost part of the country, Rio Grande do Sul is bordered clockwise by Santa Catarina to the ...</v>
    <v>71</v>
    <v>72</v>
    <v>74</v>
    <v>70</v>
    <v>Rio Grande do Sul</v>
    <v>7</v>
    <v>75</v>
    <v>Rio Grande do Sul</v>
    <v>mdp/vdpid/27825</v>
  </rv>
  <rv s="0">
    <v>536870912</v>
    <v>Pará</v>
    <v>7a0db70a-73db-e83d-e548-6fab7a523b35</v>
    <v>pt-BR</v>
    <v>Map</v>
  </rv>
  <rv s="1">
    <fb>1245870.7</fb>
    <v>10</v>
  </rv>
  <rv s="0">
    <v>536870912</v>
    <v>Belém</v>
    <v>19b9814d-03b5-b9a5-2607-ca75413f8674</v>
    <v>pt-BR</v>
    <v>Map</v>
  </rv>
  <rv s="2">
    <v>8</v>
    <v>8</v>
    <v>33</v>
    <v>7</v>
    <v>0</v>
    <v>Image of Pará</v>
  </rv>
  <rv s="3">
    <v>https://www.bing.com/search?q=Par%c3%a1&amp;form=skydnc</v>
    <v>Aprenda mais com Bing</v>
  </rv>
  <rv s="0">
    <v>805306368</v>
    <v>Helder Barbalho (Governador)</v>
    <v>1323c458-fbb7-4141-9278-070cd6dc5c75</v>
    <v>pt-BR</v>
    <v>Generic</v>
  </rv>
  <rv s="4">
    <v>8</v>
  </rv>
  <rv s="1">
    <fb>8366628</fb>
    <v>10</v>
  </rv>
  <rv s="5">
    <v>#VALUE!</v>
    <v>pt-BR</v>
    <v>7a0db70a-73db-e83d-e548-6fab7a523b35</v>
    <v>536870912</v>
    <v>1</v>
    <v>35</v>
    <v>3</v>
    <v>4</v>
    <v>Pará</v>
    <v>6</v>
    <v>7</v>
    <v>Map</v>
    <v>8</v>
    <v>14</v>
    <v>BR-PA</v>
    <v>78</v>
    <v>79</v>
    <v>Pará is a state of Brazil, located in northern Brazil and traversed by the lower Amazon River. It borders the Brazilian states of Amapá, Maranhão, Tocantins, Mato Grosso, Amazonas and Roraima. To the northwest are the borders of Guyana and ...</v>
    <v>80</v>
    <v>81</v>
    <v>83</v>
    <v>79</v>
    <v>Pará</v>
    <v>7</v>
    <v>84</v>
    <v>Pará</v>
    <v>mdp/vdpid/25190</v>
  </rv>
  <rv s="0">
    <v>536870912</v>
    <v>Pernambuco</v>
    <v>5538aab1-15ae-294f-2c10-f5083201cca1</v>
    <v>pt-BR</v>
    <v>Map</v>
  </rv>
  <rv s="1">
    <fb>98937.8</fb>
    <v>10</v>
  </rv>
  <rv s="0">
    <v>536870912</v>
    <v>Recife</v>
    <v>56717c0d-ccb4-6a32-53ba-4a80ef2afa79</v>
    <v>pt-BR</v>
    <v>Map</v>
  </rv>
  <rv s="2">
    <v>9</v>
    <v>8</v>
    <v>36</v>
    <v>7</v>
    <v>0</v>
    <v>Image of Pernambuco</v>
  </rv>
  <rv s="3">
    <v>https://www.bing.com/search?q=Pernambuco&amp;form=skydnc</v>
    <v>Aprenda mais com Bing</v>
  </rv>
  <rv s="0">
    <v>805306368</v>
    <v>Raquel Lyra (Governador)</v>
    <v>296e2801-863f-736a-c819-215a140cdf8e</v>
    <v>pt-BR</v>
    <v>Generic</v>
  </rv>
  <rv s="4">
    <v>9</v>
  </rv>
  <rv s="1">
    <fb>9473266</fb>
    <v>10</v>
  </rv>
  <rv s="5">
    <v>#VALUE!</v>
    <v>pt-BR</v>
    <v>5538aab1-15ae-294f-2c10-f5083201cca1</v>
    <v>536870912</v>
    <v>1</v>
    <v>38</v>
    <v>3</v>
    <v>4</v>
    <v>Pernambuco</v>
    <v>6</v>
    <v>7</v>
    <v>Map</v>
    <v>8</v>
    <v>14</v>
    <v>BR-PE</v>
    <v>87</v>
    <v>88</v>
    <v>Pernambuco is a state of Brazil, located in the Northeast region of the country. With an estimated population of 9 million people as of 2022, it is the seventh-most populous state of Brazil and with around 98,067.877 km², it is the 19th-largest ...</v>
    <v>89</v>
    <v>90</v>
    <v>92</v>
    <v>88</v>
    <v>Pernambuco</v>
    <v>7</v>
    <v>93</v>
    <v>Pernambuco</v>
    <v>mdp/vdpid/25687</v>
  </rv>
</rvData>
</file>

<file path=xl/richData/rdrichvaluestructure.xml><?xml version="1.0" encoding="utf-8"?>
<rvStructures xmlns="http://schemas.microsoft.com/office/spreadsheetml/2017/richdata" count="6">
  <s t="_linkedentity2">
    <k n="%EntityServiceId" t="i"/>
    <k n="_DisplayString" t="s"/>
    <k n="%EntityId" t="s"/>
    <k n="%EntityCulture" t="s"/>
    <k n="_Icon" t="s"/>
  </s>
  <s t="_formattednumber">
    <k n="_Format" t="spb"/>
  </s>
  <s t="_webimage">
    <k n="WebImageIdentifier" t="i"/>
    <k n="_Provider" t="spb"/>
    <k n="Attribution" t="spb"/>
    <k n="CalcOrigin" t="i"/>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ção" t="s"/>
    <k n="`Área" t="r"/>
    <k n="Capital/Maior Cidade" t="r"/>
    <k n="Descrição" t="s"/>
    <k n="Imagem" t="r"/>
    <k n="LearnMoreOnLink" t="r"/>
    <k n="Líder(es)" t="r"/>
    <k n="Maior cidade" t="r"/>
    <k n="Nome" t="s"/>
    <k n="País/região" t="r"/>
    <k n="População" t="r"/>
    <k n="UniqueName" t="s"/>
    <k n="VDPID/VSID" t="s"/>
  </s>
</rvStructures>
</file>

<file path=xl/richData/rdsupportingpropertybag.xml><?xml version="1.0" encoding="utf-8"?>
<supportingPropertyBags xmlns="http://schemas.microsoft.com/office/spreadsheetml/2017/richdata2">
  <spbArrays count="1">
    <a count="26">
      <v t="s">%EntityServiceId</v>
      <v t="s">%IsRefreshable</v>
      <v t="s">_CanonicalPropertyNames</v>
      <v t="s">%EntityCulture</v>
      <v t="s">%EntityId</v>
      <v t="s">_Icon</v>
      <v t="s">_Provider</v>
      <v t="s">_Attribution</v>
      <v t="s">_Display</v>
      <v t="s">Nome</v>
      <v t="s">_Format</v>
      <v t="s">Capital/Maior Cidade</v>
      <v t="s">Líder(es)</v>
      <v t="s">País/região</v>
      <v t="s">_SubLabel</v>
      <v t="s">População</v>
      <v t="s">`Área</v>
      <v t="s">Abreviação</v>
      <v t="s">Maior cidade</v>
      <v t="s">_Flags</v>
      <v t="s">VDPID/VSID</v>
      <v t="s">UniqueName</v>
      <v t="s">_DisplayString</v>
      <v t="s">LearnMoreOnLink</v>
      <v t="s">Imagem</v>
      <v t="s">Descrição</v>
    </a>
  </spbArrays>
  <spbData count="39">
    <spb s="0">
      <v xml:space="preserve">Wikipedia	</v>
      <v xml:space="preserve">CC BY-SA 3.0	</v>
      <v xml:space="preserve">https://en.wikipedia.org/wiki/S%C3%A3o_Paulo_(state)	</v>
      <v xml:space="preserve">https://creativecommons.org/licenses/by-sa/3.0	</v>
    </spb>
    <spb s="0">
      <v xml:space="preserve">Wikipedia	</v>
      <v xml:space="preserve">CC-BY-SA	</v>
      <v xml:space="preserve">http://en.wikipedia.org/wiki/São_Paulo_(state)	</v>
      <v xml:space="preserve">http://creativecommons.org/licenses/by-sa/3.0/	</v>
    </spb>
    <spb s="1">
      <v>0</v>
      <v>0</v>
      <v>0</v>
      <v>0</v>
      <v>1</v>
      <v>0</v>
      <v>0</v>
      <v>0</v>
      <v>0</v>
    </spb>
    <spb s="2">
      <v>Name</v>
      <v>Area</v>
      <v>Image</v>
      <v>Description</v>
      <v>Population</v>
      <v>Abbreviation</v>
      <v>UniqueName</v>
      <v>VDPID/VSID</v>
      <v>Country/region</v>
      <v>Largest city</v>
      <v>LearnMoreOnLink</v>
      <v>Capital/Major City</v>
    </spb>
    <spb s="3">
      <v>0</v>
      <v>Name</v>
      <v>LearnMoreOnLink</v>
    </spb>
    <spb s="4">
      <v>0</v>
      <v>0</v>
      <v>0</v>
    </spb>
    <spb s="5">
      <v>5</v>
      <v>5</v>
      <v>5</v>
    </spb>
    <spb s="6">
      <v>1</v>
      <v>2</v>
    </spb>
    <spb s="7">
      <v>https://www.bing.com</v>
      <v>https://www.bing.com/th?id=Ga%5Cbing_yt.png&amp;w=100&amp;h=40&amp;c=0&amp;pid=0.1</v>
      <v>Da plataforma Bing</v>
    </spb>
    <spb s="8">
      <v>km quadrado</v>
      <v>2018</v>
    </spb>
    <spb s="9">
      <v>3</v>
    </spb>
    <spb s="0">
      <v xml:space="preserve">Wikipedia	</v>
      <v xml:space="preserve">CC BY-SA 3.0	</v>
      <v xml:space="preserve">https://en.wikipedia.org/wiki/Minas_Gerais	</v>
      <v xml:space="preserve">https://creativecommons.org/licenses/by-sa/3.0	</v>
    </spb>
    <spb s="0">
      <v xml:space="preserve">Wikipedia	</v>
      <v xml:space="preserve">CC-BY-SA	</v>
      <v xml:space="preserve">http://en.wikipedia.org/wiki/Minas_Gerais	</v>
      <v xml:space="preserve">http://creativecommons.org/licenses/by-sa/3.0/	</v>
    </spb>
    <spb s="1">
      <v>11</v>
      <v>11</v>
      <v>11</v>
      <v>11</v>
      <v>12</v>
      <v>11</v>
      <v>11</v>
      <v>11</v>
      <v>11</v>
    </spb>
    <spb s="8">
      <v>km quadrado</v>
      <v>2017</v>
    </spb>
    <spb s="0">
      <v xml:space="preserve">Wikipedia	</v>
      <v xml:space="preserve">CC BY-SA 3.0	</v>
      <v xml:space="preserve">https://en.wikipedia.org/wiki/Goi%C3%A1s	</v>
      <v xml:space="preserve">https://creativecommons.org/licenses/by-sa/3.0	</v>
    </spb>
    <spb s="0">
      <v xml:space="preserve">Wikipedia	</v>
      <v xml:space="preserve">CC-BY-SA	</v>
      <v xml:space="preserve">http://en.wikipedia.org/wiki/Goiás	</v>
      <v xml:space="preserve">http://creativecommons.org/licenses/by-sa/3.0/	</v>
    </spb>
    <spb s="1">
      <v>15</v>
      <v>15</v>
      <v>15</v>
      <v>15</v>
      <v>16</v>
      <v>15</v>
      <v>15</v>
      <v>15</v>
      <v>15</v>
    </spb>
    <spb s="0">
      <v xml:space="preserve">Wikipedia	</v>
      <v xml:space="preserve">CC BY-SA 3.0	</v>
      <v xml:space="preserve">https://en.wikipedia.org/wiki/Santa_Catarina_(state)	</v>
      <v xml:space="preserve">https://creativecommons.org/licenses/by-sa/3.0	</v>
    </spb>
    <spb s="0">
      <v xml:space="preserve">Wikipedia	</v>
      <v xml:space="preserve">CC-BY-SA	</v>
      <v xml:space="preserve">http://en.wikipedia.org/wiki/Santa_Catarina_(state)	</v>
      <v xml:space="preserve">http://creativecommons.org/licenses/by-sa/3.0/	</v>
    </spb>
    <spb s="1">
      <v>18</v>
      <v>18</v>
      <v>18</v>
      <v>18</v>
      <v>19</v>
      <v>18</v>
      <v>18</v>
      <v>18</v>
      <v>18</v>
    </spb>
    <spb s="0">
      <v xml:space="preserve">Wikipedia	</v>
      <v xml:space="preserve">CC BY-SA 3.0	</v>
      <v xml:space="preserve">https://en.wikipedia.org/wiki/Federal_District_(Brazil)	</v>
      <v xml:space="preserve">https://creativecommons.org/licenses/by-sa/3.0	</v>
    </spb>
    <spb s="0">
      <v xml:space="preserve">Wikipedia	</v>
      <v xml:space="preserve">CC-BY-SA	</v>
      <v xml:space="preserve">http://en.wikipedia.org/wiki/Federal_District_(Brazil)	</v>
      <v xml:space="preserve">http://creativecommons.org/licenses/by-sa/3.0/	</v>
    </spb>
    <spb s="1">
      <v>21</v>
      <v>21</v>
      <v>21</v>
      <v>21</v>
      <v>22</v>
      <v>21</v>
      <v>21</v>
      <v>21</v>
      <v>21</v>
    </spb>
    <spb s="0">
      <v xml:space="preserve">Wikipedia	</v>
      <v xml:space="preserve">CC BY-SA 3.0	</v>
      <v xml:space="preserve">https://en.wikipedia.org/wiki/Mato_Grosso	</v>
      <v xml:space="preserve">https://creativecommons.org/licenses/by-sa/3.0	</v>
    </spb>
    <spb s="0">
      <v xml:space="preserve">Wikipedia	</v>
      <v xml:space="preserve">CC-BY-SA	</v>
      <v xml:space="preserve">http://en.wikipedia.org/wiki/Mato_Grosso	</v>
      <v xml:space="preserve">http://creativecommons.org/licenses/by-sa/3.0/	</v>
    </spb>
    <spb s="1">
      <v>24</v>
      <v>24</v>
      <v>24</v>
      <v>24</v>
      <v>25</v>
      <v>24</v>
      <v>24</v>
      <v>24</v>
      <v>24</v>
    </spb>
    <spb s="0">
      <v xml:space="preserve">Wikipedia	</v>
      <v xml:space="preserve">CC BY-SA 3.0	</v>
      <v xml:space="preserve">https://en.wikipedia.org/wiki/Rio_de_Janeiro_(state)	</v>
      <v xml:space="preserve">https://creativecommons.org/licenses/by-sa/3.0	</v>
    </spb>
    <spb s="0">
      <v xml:space="preserve">Wikipedia	</v>
      <v xml:space="preserve">CC-BY-SA	</v>
      <v xml:space="preserve">http://en.wikipedia.org/wiki/Rio_de_Janeiro_(state)	</v>
      <v xml:space="preserve">http://creativecommons.org/licenses/by-sa/3.0/	</v>
    </spb>
    <spb s="1">
      <v>27</v>
      <v>27</v>
      <v>27</v>
      <v>27</v>
      <v>28</v>
      <v>27</v>
      <v>27</v>
      <v>27</v>
      <v>27</v>
    </spb>
    <spb s="0">
      <v xml:space="preserve">Wikipedia	</v>
      <v xml:space="preserve">CC BY-SA 3.0	</v>
      <v xml:space="preserve">https://en.wikipedia.org/wiki/Rio_Grande_do_Sul	</v>
      <v xml:space="preserve">https://creativecommons.org/licenses/by-sa/3.0	</v>
    </spb>
    <spb s="0">
      <v xml:space="preserve">Wikipedia	</v>
      <v xml:space="preserve">CC-BY-SA	</v>
      <v xml:space="preserve">http://en.wikipedia.org/wiki/Rio_Grande_do_Sul	</v>
      <v xml:space="preserve">http://creativecommons.org/licenses/by-sa/3.0/	</v>
    </spb>
    <spb s="1">
      <v>30</v>
      <v>30</v>
      <v>30</v>
      <v>30</v>
      <v>31</v>
      <v>30</v>
      <v>30</v>
      <v>30</v>
      <v>30</v>
    </spb>
    <spb s="0">
      <v xml:space="preserve">Wikipedia	</v>
      <v xml:space="preserve">CC BY-SA 3.0	</v>
      <v xml:space="preserve">https://en.wikipedia.org/wiki/Par%C3%A1	</v>
      <v xml:space="preserve">https://creativecommons.org/licenses/by-sa/3.0	</v>
    </spb>
    <spb s="0">
      <v xml:space="preserve">Wikipedia	</v>
      <v xml:space="preserve">CC-BY-SA	</v>
      <v xml:space="preserve">http://en.wikipedia.org/wiki/Pará	</v>
      <v xml:space="preserve">http://creativecommons.org/licenses/by-sa/3.0/	</v>
    </spb>
    <spb s="1">
      <v>33</v>
      <v>33</v>
      <v>33</v>
      <v>33</v>
      <v>34</v>
      <v>33</v>
      <v>33</v>
      <v>33</v>
      <v>33</v>
    </spb>
    <spb s="0">
      <v xml:space="preserve">Wikipedia	</v>
      <v xml:space="preserve">CC BY-SA 3.0	</v>
      <v xml:space="preserve">https://en.wikipedia.org/wiki/Pernambuco	</v>
      <v xml:space="preserve">https://creativecommons.org/licenses/by-sa/3.0	</v>
    </spb>
    <spb s="0">
      <v xml:space="preserve">Wikipedia	</v>
      <v xml:space="preserve">CC-BY-SA	</v>
      <v xml:space="preserve">http://en.wikipedia.org/wiki/Pernambuco	</v>
      <v xml:space="preserve">http://creativecommons.org/licenses/by-sa/3.0/	</v>
    </spb>
    <spb s="1">
      <v>36</v>
      <v>36</v>
      <v>36</v>
      <v>36</v>
      <v>37</v>
      <v>36</v>
      <v>36</v>
      <v>36</v>
      <v>36</v>
    </spb>
  </spbData>
</supportingPropertyBags>
</file>

<file path=xl/richData/rdsupportingpropertybagstructure.xml><?xml version="1.0" encoding="utf-8"?>
<spbStructures xmlns="http://schemas.microsoft.com/office/spreadsheetml/2017/richdata2" count="10">
  <s>
    <k n="SourceText" t="s"/>
    <k n="LicenseText" t="s"/>
    <k n="SourceAddress" t="s"/>
    <k n="LicenseAddress" t="s"/>
  </s>
  <s>
    <k n="Nome" t="spb"/>
    <k n="`Área" t="spb"/>
    <k n="Descrição" t="spb"/>
    <k n="População" t="spb"/>
    <k n="Abreviação" t="spb"/>
    <k n="UniqueName" t="spb"/>
    <k n="País/região" t="spb"/>
    <k n="Maior cidade" t="spb"/>
    <k n="Capital/Maior Cidade" t="spb"/>
  </s>
  <s>
    <k n="Nome" t="s"/>
    <k n="Área" t="s"/>
    <k n="Imagem" t="s"/>
    <k n="Descrição" t="s"/>
    <k n="População" t="s"/>
    <k n="Abreviação" t="s"/>
    <k n="UniqueName" t="s"/>
    <k n="VDPID/VSID" t="s"/>
    <k n="País/região" t="s"/>
    <k n="Maior cidade" t="s"/>
    <k n="LearnMoreOnLink" t="s"/>
    <k n="Capital/Maior Cidade" t="s"/>
  </s>
  <s>
    <k n="^Order" t="spba"/>
    <k n="TitleProperty" t="s"/>
    <k n="SubTitleProperty" t="s"/>
  </s>
  <s>
    <k n="ShowInCardView" t="b"/>
    <k n="ShowInDotNotation" t="b"/>
    <k n="ShowInAutoComplete" t="b"/>
  </s>
  <s>
    <k n="UniqueName" t="spb"/>
    <k n="VDPID/VSID" t="spb"/>
    <k n="LearnMoreOnLink" t="spb"/>
  </s>
  <s>
    <k n="Nome" t="i"/>
    <k n="Imagem" t="i"/>
  </s>
  <s>
    <k n="link" t="s"/>
    <k n="logo" t="s"/>
    <k n="name" t="s"/>
  </s>
  <s>
    <k n="`Área" t="s"/>
    <k n="População" t="s"/>
  </s>
  <s>
    <k n="_Self" t="i"/>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TitleField" t="b"/>
    <rPr n="IsHeroField" t="b"/>
    <rPr n="NumberFormat" t="s"/>
  </richProperties>
  <richStyles>
    <rSty>
      <rpv i="0">1</rpv>
    </rSty>
    <rSty>
      <rpv i="1">1</rpv>
    </rSty>
    <rSty dxfid="0">
      <rpv i="2">#,##0</rpv>
    </rSty>
  </richStyles>
</richStyleSheet>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D377-9343-4997-9760-705C385694F2}">
  <dimension ref="A1:O33"/>
  <sheetViews>
    <sheetView showGridLines="0" tabSelected="1" zoomScale="90" zoomScaleNormal="90" workbookViewId="0">
      <selection activeCell="Q4" sqref="Q4"/>
    </sheetView>
  </sheetViews>
  <sheetFormatPr defaultColWidth="9.140625" defaultRowHeight="15"/>
  <cols>
    <col min="1" max="1" width="1.7109375" customWidth="1"/>
    <col min="2" max="14" width="9.140625" style="1"/>
    <col min="15" max="15" width="16.140625" style="1" customWidth="1"/>
    <col min="16" max="16384" width="9.140625" style="1"/>
  </cols>
  <sheetData>
    <row r="1" spans="1:15" ht="15.75">
      <c r="A1" s="4"/>
      <c r="B1" s="10"/>
    </row>
    <row r="2" spans="1:15" ht="15.75">
      <c r="A2" s="4"/>
      <c r="B2" s="10"/>
    </row>
    <row r="3" spans="1:15" ht="15.75">
      <c r="A3" s="4"/>
      <c r="B3" s="10"/>
    </row>
    <row r="4" spans="1:15" ht="15.75">
      <c r="A4" s="4"/>
      <c r="B4" s="10"/>
    </row>
    <row r="5" spans="1:15" ht="20.25">
      <c r="A5" s="4"/>
      <c r="B5" s="11" t="s">
        <v>19</v>
      </c>
    </row>
    <row r="6" spans="1:15" ht="15.75">
      <c r="A6" s="4"/>
      <c r="B6" s="10"/>
    </row>
    <row r="7" spans="1:15" ht="18">
      <c r="A7" s="4"/>
      <c r="B7" s="7" t="s">
        <v>18</v>
      </c>
    </row>
    <row r="8" spans="1:15" ht="6.95" customHeight="1">
      <c r="A8" s="4"/>
      <c r="B8" s="7"/>
    </row>
    <row r="9" spans="1:15" s="8" customFormat="1" ht="40.5" customHeight="1">
      <c r="A9" s="9"/>
      <c r="B9" s="64" t="s">
        <v>157</v>
      </c>
      <c r="C9" s="64"/>
      <c r="D9" s="64"/>
      <c r="E9" s="64"/>
      <c r="F9" s="64"/>
      <c r="G9" s="64"/>
      <c r="H9" s="64"/>
      <c r="I9" s="64"/>
      <c r="J9" s="64"/>
      <c r="K9" s="64"/>
      <c r="L9" s="64"/>
      <c r="M9" s="64"/>
      <c r="N9" s="64"/>
      <c r="O9" s="64"/>
    </row>
    <row r="10" spans="1:15" ht="12" customHeight="1">
      <c r="A10" s="4"/>
      <c r="B10" s="7"/>
    </row>
    <row r="11" spans="1:15" ht="21.75" customHeight="1">
      <c r="B11" s="7" t="s">
        <v>17</v>
      </c>
    </row>
    <row r="12" spans="1:15" ht="6.95" customHeight="1">
      <c r="A12" s="4"/>
      <c r="B12" s="7"/>
    </row>
    <row r="13" spans="1:15" ht="83.25" customHeight="1">
      <c r="B13" s="64" t="s">
        <v>16</v>
      </c>
      <c r="C13" s="64"/>
      <c r="D13" s="64"/>
      <c r="E13" s="64"/>
      <c r="F13" s="64"/>
      <c r="G13" s="64"/>
      <c r="H13" s="64"/>
      <c r="I13" s="64"/>
      <c r="J13" s="64"/>
      <c r="K13" s="64"/>
      <c r="L13" s="64"/>
      <c r="M13" s="64"/>
      <c r="N13" s="64"/>
      <c r="O13" s="64"/>
    </row>
    <row r="14" spans="1:15" ht="12" customHeight="1">
      <c r="A14" s="4"/>
      <c r="B14" s="7"/>
    </row>
    <row r="15" spans="1:15" ht="18">
      <c r="B15" s="7" t="s">
        <v>15</v>
      </c>
    </row>
    <row r="16" spans="1:15" ht="12" customHeight="1">
      <c r="A16" s="4"/>
      <c r="B16" s="7"/>
    </row>
    <row r="17" spans="1:15" ht="15.75">
      <c r="B17" s="3" t="s">
        <v>14</v>
      </c>
      <c r="E17" s="2" t="s">
        <v>13</v>
      </c>
    </row>
    <row r="18" spans="1:15" ht="12" customHeight="1">
      <c r="A18" s="4"/>
      <c r="B18" s="7"/>
    </row>
    <row r="19" spans="1:15" ht="15.75">
      <c r="B19" s="3" t="s">
        <v>12</v>
      </c>
      <c r="E19" s="2" t="s">
        <v>158</v>
      </c>
    </row>
    <row r="20" spans="1:15" ht="12" customHeight="1">
      <c r="A20" s="4"/>
      <c r="B20" s="7"/>
    </row>
    <row r="21" spans="1:15" ht="15.75">
      <c r="B21" s="3" t="s">
        <v>11</v>
      </c>
      <c r="E21" s="2" t="s">
        <v>159</v>
      </c>
    </row>
    <row r="22" spans="1:15" ht="12" customHeight="1">
      <c r="A22" s="4"/>
      <c r="B22" s="7"/>
    </row>
    <row r="23" spans="1:15" ht="28.5" customHeight="1">
      <c r="B23" s="6" t="s">
        <v>10</v>
      </c>
      <c r="C23" s="5"/>
      <c r="E23" s="64" t="s">
        <v>160</v>
      </c>
      <c r="F23" s="64"/>
      <c r="G23" s="64"/>
      <c r="H23" s="64"/>
      <c r="I23" s="64"/>
      <c r="J23" s="64"/>
      <c r="K23" s="64"/>
      <c r="L23" s="64"/>
      <c r="M23" s="64"/>
      <c r="N23" s="64"/>
      <c r="O23" s="64"/>
    </row>
    <row r="24" spans="1:15" ht="12" customHeight="1">
      <c r="A24" s="4"/>
      <c r="B24" s="7"/>
    </row>
    <row r="25" spans="1:15" ht="15.75">
      <c r="B25" s="3" t="s">
        <v>9</v>
      </c>
      <c r="E25" s="2" t="s">
        <v>8</v>
      </c>
    </row>
    <row r="26" spans="1:15" ht="12" customHeight="1">
      <c r="A26" s="4"/>
      <c r="B26" s="7"/>
    </row>
    <row r="27" spans="1:15" ht="15.75">
      <c r="B27" s="3" t="s">
        <v>7</v>
      </c>
      <c r="E27" s="2" t="s">
        <v>6</v>
      </c>
    </row>
    <row r="28" spans="1:15" ht="12" customHeight="1">
      <c r="A28" s="4"/>
      <c r="B28" s="7"/>
    </row>
    <row r="29" spans="1:15" ht="15.75">
      <c r="B29" s="3" t="s">
        <v>5</v>
      </c>
      <c r="E29" s="2" t="s">
        <v>4</v>
      </c>
    </row>
    <row r="30" spans="1:15" ht="12" customHeight="1">
      <c r="A30" s="4"/>
      <c r="B30" s="7"/>
    </row>
    <row r="31" spans="1:15" ht="15.75">
      <c r="A31" s="4"/>
      <c r="B31" s="3" t="s">
        <v>3</v>
      </c>
      <c r="E31" s="2" t="s">
        <v>2</v>
      </c>
    </row>
    <row r="32" spans="1:15" ht="12" customHeight="1">
      <c r="A32" s="4"/>
      <c r="B32" s="7"/>
    </row>
    <row r="33" spans="1:5" ht="15.75">
      <c r="A33" s="4"/>
      <c r="B33" s="3" t="s">
        <v>1</v>
      </c>
      <c r="E33" s="2" t="s">
        <v>0</v>
      </c>
    </row>
  </sheetData>
  <mergeCells count="3">
    <mergeCell ref="B9:O9"/>
    <mergeCell ref="B13:O13"/>
    <mergeCell ref="E23:O23"/>
  </mergeCells>
  <pageMargins left="0.7" right="0.7" top="0.75" bottom="0.75" header="0.3" footer="0.3"/>
  <pageSetup paperSize="9" scale="7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90B82-00D2-49A5-82DE-9EBDDCF2B814}">
  <dimension ref="A1:T160"/>
  <sheetViews>
    <sheetView showGridLines="0" zoomScale="85" zoomScaleNormal="85" workbookViewId="0">
      <selection activeCell="R45" sqref="R45"/>
    </sheetView>
  </sheetViews>
  <sheetFormatPr defaultRowHeight="15"/>
  <cols>
    <col min="1" max="1" width="1.7109375" customWidth="1"/>
    <col min="2" max="2" width="8.7109375" customWidth="1"/>
    <col min="3" max="3" width="10.7109375" customWidth="1"/>
    <col min="4" max="4" width="11.28515625" customWidth="1"/>
    <col min="5" max="6" width="17.7109375" customWidth="1"/>
    <col min="7" max="10" width="10.7109375" customWidth="1"/>
    <col min="11" max="11" width="16.7109375" customWidth="1"/>
    <col min="12" max="16" width="11.28515625" customWidth="1"/>
    <col min="17" max="17" width="13.5703125" customWidth="1"/>
    <col min="18" max="18" width="85.28515625" customWidth="1"/>
    <col min="19" max="19" width="30.7109375" customWidth="1"/>
  </cols>
  <sheetData>
    <row r="1" spans="1:19" s="1" customFormat="1" ht="15.75">
      <c r="A1" s="4"/>
      <c r="B1" s="10"/>
    </row>
    <row r="2" spans="1:19" s="1" customFormat="1" ht="15.75">
      <c r="A2" s="4"/>
      <c r="B2" s="10"/>
    </row>
    <row r="3" spans="1:19" s="1" customFormat="1" ht="15.75">
      <c r="A3" s="4"/>
      <c r="B3" s="10"/>
    </row>
    <row r="4" spans="1:19" s="1" customFormat="1" ht="15.75">
      <c r="A4" s="4"/>
      <c r="B4" s="10"/>
    </row>
    <row r="5" spans="1:19" s="1" customFormat="1" ht="20.25">
      <c r="A5" s="4"/>
      <c r="B5" s="11" t="s">
        <v>19</v>
      </c>
    </row>
    <row r="6" spans="1:19" s="1" customFormat="1" ht="15.75">
      <c r="A6" s="4"/>
      <c r="B6" s="10"/>
    </row>
    <row r="7" spans="1:19" s="1" customFormat="1" ht="18">
      <c r="A7" s="4"/>
      <c r="B7" s="7" t="s">
        <v>161</v>
      </c>
    </row>
    <row r="8" spans="1:19" s="1" customFormat="1" ht="6.95" customHeight="1">
      <c r="A8" s="4"/>
      <c r="B8" s="7"/>
    </row>
    <row r="9" spans="1:19" ht="24.95" customHeight="1">
      <c r="A9" s="4"/>
      <c r="B9" s="23"/>
      <c r="C9" s="23" t="s">
        <v>136</v>
      </c>
      <c r="D9" s="23" t="s">
        <v>135</v>
      </c>
      <c r="E9" s="23" t="s">
        <v>86</v>
      </c>
      <c r="F9" s="23" t="s">
        <v>134</v>
      </c>
      <c r="G9" s="23" t="s">
        <v>133</v>
      </c>
      <c r="H9" s="23" t="s">
        <v>132</v>
      </c>
      <c r="I9" s="23" t="s">
        <v>131</v>
      </c>
      <c r="J9" s="23" t="s">
        <v>130</v>
      </c>
      <c r="K9" s="24" t="s">
        <v>129</v>
      </c>
      <c r="L9" s="23" t="s">
        <v>128</v>
      </c>
      <c r="M9" s="23" t="s">
        <v>127</v>
      </c>
      <c r="N9" s="23" t="s">
        <v>51</v>
      </c>
      <c r="O9" s="23" t="s">
        <v>47</v>
      </c>
      <c r="P9" s="23" t="s">
        <v>126</v>
      </c>
      <c r="Q9" s="23" t="s">
        <v>52</v>
      </c>
      <c r="R9" s="23" t="s">
        <v>163</v>
      </c>
      <c r="S9" s="23" t="s">
        <v>164</v>
      </c>
    </row>
    <row r="10" spans="1:19" ht="39.950000000000003" customHeight="1">
      <c r="A10" s="9"/>
      <c r="B10" s="25">
        <v>1</v>
      </c>
      <c r="C10" s="25" t="s">
        <v>95</v>
      </c>
      <c r="D10" s="52" t="s">
        <v>78</v>
      </c>
      <c r="E10" s="52" t="s">
        <v>124</v>
      </c>
      <c r="F10" s="52" t="s">
        <v>39</v>
      </c>
      <c r="G10" s="52" t="s">
        <v>93</v>
      </c>
      <c r="H10" s="52" t="s">
        <v>88</v>
      </c>
      <c r="I10" s="53">
        <v>9.1399999999999995E-2</v>
      </c>
      <c r="J10" s="53">
        <v>8.9800000000000005E-2</v>
      </c>
      <c r="K10" s="54">
        <v>8010136</v>
      </c>
      <c r="L10" s="53">
        <v>7.6999999999999999E-2</v>
      </c>
      <c r="M10" s="58">
        <v>8.2913646457808909E-2</v>
      </c>
      <c r="N10" s="59">
        <v>3.5425036154117193</v>
      </c>
      <c r="O10" s="65">
        <v>0.44573643410852715</v>
      </c>
      <c r="P10" s="68" t="s">
        <v>29</v>
      </c>
      <c r="Q10" s="69">
        <v>48837</v>
      </c>
      <c r="R10" s="68" t="s">
        <v>169</v>
      </c>
      <c r="S10" s="68" t="s">
        <v>170</v>
      </c>
    </row>
    <row r="11" spans="1:19" ht="39.950000000000003" customHeight="1">
      <c r="A11" s="4"/>
      <c r="B11" s="26">
        <v>2</v>
      </c>
      <c r="C11" s="26" t="s">
        <v>95</v>
      </c>
      <c r="D11" s="55" t="s">
        <v>80</v>
      </c>
      <c r="E11" s="55" t="s">
        <v>98</v>
      </c>
      <c r="F11" s="55" t="s">
        <v>39</v>
      </c>
      <c r="G11" s="55" t="s">
        <v>93</v>
      </c>
      <c r="H11" s="55" t="s">
        <v>88</v>
      </c>
      <c r="I11" s="56">
        <v>9.8500000000000004E-2</v>
      </c>
      <c r="J11" s="56">
        <v>0.1166</v>
      </c>
      <c r="K11" s="57">
        <v>7551484</v>
      </c>
      <c r="L11" s="56">
        <v>7.1999999999999995E-2</v>
      </c>
      <c r="M11" s="58">
        <v>7.8166095309323072E-2</v>
      </c>
      <c r="N11" s="59">
        <v>3.3224897693847146</v>
      </c>
      <c r="O11" s="65">
        <v>0.43</v>
      </c>
      <c r="P11" s="68" t="s">
        <v>34</v>
      </c>
      <c r="Q11" s="69">
        <v>48745</v>
      </c>
      <c r="R11" s="68" t="s">
        <v>165</v>
      </c>
      <c r="S11" s="68" t="s">
        <v>166</v>
      </c>
    </row>
    <row r="12" spans="1:19" ht="39.950000000000003" customHeight="1">
      <c r="B12" s="26">
        <v>3</v>
      </c>
      <c r="C12" s="26" t="s">
        <v>95</v>
      </c>
      <c r="D12" s="55" t="s">
        <v>79</v>
      </c>
      <c r="E12" s="55" t="s">
        <v>125</v>
      </c>
      <c r="F12" s="55" t="s">
        <v>44</v>
      </c>
      <c r="G12" s="55" t="s">
        <v>115</v>
      </c>
      <c r="H12" s="55" t="s">
        <v>88</v>
      </c>
      <c r="I12" s="56">
        <v>8.2500000000000004E-2</v>
      </c>
      <c r="J12" s="56">
        <v>9.8299999999999998E-2</v>
      </c>
      <c r="K12" s="57">
        <v>7267235</v>
      </c>
      <c r="L12" s="56">
        <v>7.0000000000000007E-2</v>
      </c>
      <c r="M12" s="58">
        <v>7.5223802990349295E-2</v>
      </c>
      <c r="N12" s="59">
        <v>3.0556344451577631</v>
      </c>
      <c r="O12" s="65">
        <v>0.56999999999999995</v>
      </c>
      <c r="P12" s="68" t="s">
        <v>37</v>
      </c>
      <c r="Q12" s="69">
        <v>48466</v>
      </c>
      <c r="R12" s="68" t="s">
        <v>167</v>
      </c>
      <c r="S12" s="68" t="s">
        <v>168</v>
      </c>
    </row>
    <row r="13" spans="1:19" ht="39.950000000000003" customHeight="1">
      <c r="A13" s="4"/>
      <c r="B13" s="26">
        <v>4</v>
      </c>
      <c r="C13" s="26" t="s">
        <v>95</v>
      </c>
      <c r="D13" s="55" t="s">
        <v>77</v>
      </c>
      <c r="E13" s="55" t="s">
        <v>123</v>
      </c>
      <c r="F13" s="55" t="s">
        <v>36</v>
      </c>
      <c r="G13" s="55" t="s">
        <v>96</v>
      </c>
      <c r="H13" s="55" t="s">
        <v>88</v>
      </c>
      <c r="I13" s="56">
        <v>9.5399999999999999E-2</v>
      </c>
      <c r="J13" s="56">
        <v>8.4099999999999994E-2</v>
      </c>
      <c r="K13" s="57">
        <v>6661569</v>
      </c>
      <c r="L13" s="56">
        <v>6.4000000000000001E-2</v>
      </c>
      <c r="M13" s="58">
        <v>6.8954505618147921E-2</v>
      </c>
      <c r="N13" s="59">
        <v>3.2103928552842746</v>
      </c>
      <c r="O13" s="65" t="s">
        <v>42</v>
      </c>
      <c r="P13" s="68" t="s">
        <v>28</v>
      </c>
      <c r="Q13" s="69">
        <v>48788</v>
      </c>
      <c r="R13" s="68" t="s">
        <v>171</v>
      </c>
      <c r="S13" s="68" t="s">
        <v>172</v>
      </c>
    </row>
    <row r="14" spans="1:19" ht="39.950000000000003" customHeight="1">
      <c r="B14" s="26">
        <v>5</v>
      </c>
      <c r="C14" s="26" t="s">
        <v>95</v>
      </c>
      <c r="D14" s="55" t="s">
        <v>76</v>
      </c>
      <c r="E14" s="55" t="s">
        <v>94</v>
      </c>
      <c r="F14" s="55" t="s">
        <v>44</v>
      </c>
      <c r="G14" s="55" t="s">
        <v>93</v>
      </c>
      <c r="H14" s="55" t="s">
        <v>88</v>
      </c>
      <c r="I14" s="56">
        <v>7.4999999999999997E-2</v>
      </c>
      <c r="J14" s="56">
        <v>9.1600000000000001E-2</v>
      </c>
      <c r="K14" s="57">
        <v>4983932</v>
      </c>
      <c r="L14" s="56">
        <v>4.8000000000000001E-2</v>
      </c>
      <c r="M14" s="58">
        <v>5.1589129562775567E-2</v>
      </c>
      <c r="N14" s="59">
        <v>3.2476955646464827</v>
      </c>
      <c r="O14" s="65">
        <v>0.27</v>
      </c>
      <c r="P14" s="68" t="s">
        <v>46</v>
      </c>
      <c r="Q14" s="69">
        <v>48197</v>
      </c>
      <c r="R14" s="68" t="s">
        <v>173</v>
      </c>
      <c r="S14" s="68" t="s">
        <v>168</v>
      </c>
    </row>
    <row r="15" spans="1:19" ht="39.950000000000003" customHeight="1">
      <c r="A15" s="4"/>
      <c r="B15" s="26">
        <v>6</v>
      </c>
      <c r="C15" s="26" t="s">
        <v>95</v>
      </c>
      <c r="D15" s="55" t="s">
        <v>75</v>
      </c>
      <c r="E15" s="55" t="s">
        <v>97</v>
      </c>
      <c r="F15" s="55" t="s">
        <v>36</v>
      </c>
      <c r="G15" s="55" t="s">
        <v>96</v>
      </c>
      <c r="H15" s="55" t="s">
        <v>88</v>
      </c>
      <c r="I15" s="56">
        <v>0.1085</v>
      </c>
      <c r="J15" s="56">
        <v>0.1182</v>
      </c>
      <c r="K15" s="57">
        <v>4713975</v>
      </c>
      <c r="L15" s="56">
        <v>4.4999999999999998E-2</v>
      </c>
      <c r="M15" s="58">
        <v>4.8794783785018461E-2</v>
      </c>
      <c r="N15" s="59">
        <v>2.6420941635329438</v>
      </c>
      <c r="O15" s="65" t="s">
        <v>42</v>
      </c>
      <c r="P15" s="68" t="s">
        <v>37</v>
      </c>
      <c r="Q15" s="69">
        <v>48606</v>
      </c>
      <c r="R15" s="68" t="s">
        <v>174</v>
      </c>
      <c r="S15" s="68" t="s">
        <v>166</v>
      </c>
    </row>
    <row r="16" spans="1:19" ht="39.950000000000003" customHeight="1">
      <c r="B16" s="26">
        <v>7</v>
      </c>
      <c r="C16" s="26" t="s">
        <v>95</v>
      </c>
      <c r="D16" s="55" t="s">
        <v>74</v>
      </c>
      <c r="E16" s="55" t="s">
        <v>122</v>
      </c>
      <c r="F16" s="55" t="s">
        <v>27</v>
      </c>
      <c r="G16" s="55" t="s">
        <v>102</v>
      </c>
      <c r="H16" s="55" t="s">
        <v>88</v>
      </c>
      <c r="I16" s="56">
        <v>7.6799999999999993E-2</v>
      </c>
      <c r="J16" s="56">
        <v>5.0299999999999997E-2</v>
      </c>
      <c r="K16" s="57">
        <v>4184762</v>
      </c>
      <c r="L16" s="56">
        <v>0.04</v>
      </c>
      <c r="M16" s="58">
        <v>4.3316854719160219E-2</v>
      </c>
      <c r="N16" s="59">
        <v>3.3421649503760129</v>
      </c>
      <c r="O16" s="65">
        <v>0.5</v>
      </c>
      <c r="P16" s="68" t="s">
        <v>37</v>
      </c>
      <c r="Q16" s="69">
        <v>48075</v>
      </c>
      <c r="R16" s="68" t="s">
        <v>175</v>
      </c>
      <c r="S16" s="68" t="s">
        <v>176</v>
      </c>
    </row>
    <row r="17" spans="1:19" ht="39.950000000000003" customHeight="1">
      <c r="A17" s="4"/>
      <c r="B17" s="26">
        <v>8</v>
      </c>
      <c r="C17" s="26" t="s">
        <v>95</v>
      </c>
      <c r="D17" s="55" t="s">
        <v>73</v>
      </c>
      <c r="E17" s="55" t="s">
        <v>121</v>
      </c>
      <c r="F17" s="55" t="s">
        <v>44</v>
      </c>
      <c r="G17" s="55" t="s">
        <v>102</v>
      </c>
      <c r="H17" s="55" t="s">
        <v>88</v>
      </c>
      <c r="I17" s="56">
        <v>8.6999999999999994E-2</v>
      </c>
      <c r="J17" s="56">
        <v>0.1076</v>
      </c>
      <c r="K17" s="57">
        <v>4129950</v>
      </c>
      <c r="L17" s="56">
        <v>0.04</v>
      </c>
      <c r="M17" s="58">
        <v>4.2749490047695134E-2</v>
      </c>
      <c r="N17" s="59">
        <v>6.1755441765245216</v>
      </c>
      <c r="O17" s="65">
        <v>0.38</v>
      </c>
      <c r="P17" s="68" t="s">
        <v>46</v>
      </c>
      <c r="Q17" s="69">
        <v>50789</v>
      </c>
      <c r="R17" s="68" t="s">
        <v>177</v>
      </c>
      <c r="S17" s="68" t="s">
        <v>178</v>
      </c>
    </row>
    <row r="18" spans="1:19" ht="39.950000000000003" customHeight="1">
      <c r="B18" s="26">
        <v>9</v>
      </c>
      <c r="C18" s="26" t="s">
        <v>95</v>
      </c>
      <c r="D18" s="55" t="s">
        <v>205</v>
      </c>
      <c r="E18" s="55" t="s">
        <v>206</v>
      </c>
      <c r="F18" s="55" t="s">
        <v>33</v>
      </c>
      <c r="G18" s="55" t="s">
        <v>93</v>
      </c>
      <c r="H18" s="55" t="s">
        <v>88</v>
      </c>
      <c r="I18" s="56">
        <v>0.105</v>
      </c>
      <c r="J18" s="56">
        <v>0.14169999999999999</v>
      </c>
      <c r="K18" s="57">
        <v>3991583</v>
      </c>
      <c r="L18" s="56">
        <v>3.7999999999999999E-2</v>
      </c>
      <c r="M18" s="58">
        <v>4.1317237768606727E-2</v>
      </c>
      <c r="N18" s="59">
        <v>1.821743599086461</v>
      </c>
      <c r="O18" s="65">
        <v>0.47</v>
      </c>
      <c r="P18" s="68" t="s">
        <v>37</v>
      </c>
      <c r="Q18" s="69">
        <v>46384</v>
      </c>
      <c r="R18" s="68" t="s">
        <v>208</v>
      </c>
      <c r="S18" s="68" t="s">
        <v>166</v>
      </c>
    </row>
    <row r="19" spans="1:19" ht="39.950000000000003" customHeight="1">
      <c r="A19" s="4"/>
      <c r="B19" s="26">
        <v>10</v>
      </c>
      <c r="C19" s="26" t="s">
        <v>95</v>
      </c>
      <c r="D19" s="55" t="s">
        <v>209</v>
      </c>
      <c r="E19" s="55" t="s">
        <v>210</v>
      </c>
      <c r="F19" s="55" t="s">
        <v>33</v>
      </c>
      <c r="G19" s="55" t="s">
        <v>96</v>
      </c>
      <c r="H19" s="55" t="s">
        <v>108</v>
      </c>
      <c r="I19" s="56">
        <v>4.4999999999999998E-2</v>
      </c>
      <c r="J19" s="56">
        <v>4.4699999999999997E-2</v>
      </c>
      <c r="K19" s="57">
        <v>3094310</v>
      </c>
      <c r="L19" s="56">
        <v>0.03</v>
      </c>
      <c r="M19" s="58">
        <v>3.2029482532289863E-2</v>
      </c>
      <c r="N19" s="59">
        <v>1.8520218868183049</v>
      </c>
      <c r="O19" s="65">
        <v>0.47</v>
      </c>
      <c r="P19" s="68" t="s">
        <v>20</v>
      </c>
      <c r="Q19" s="69">
        <v>47085</v>
      </c>
      <c r="R19" s="68" t="s">
        <v>211</v>
      </c>
      <c r="S19" s="68" t="s">
        <v>166</v>
      </c>
    </row>
    <row r="20" spans="1:19" ht="39.950000000000003" customHeight="1">
      <c r="B20" s="26">
        <v>11</v>
      </c>
      <c r="C20" s="26" t="s">
        <v>95</v>
      </c>
      <c r="D20" s="55" t="s">
        <v>69</v>
      </c>
      <c r="E20" s="55" t="s">
        <v>117</v>
      </c>
      <c r="F20" s="55" t="s">
        <v>33</v>
      </c>
      <c r="G20" s="55" t="s">
        <v>110</v>
      </c>
      <c r="H20" s="55" t="s">
        <v>88</v>
      </c>
      <c r="I20" s="56">
        <v>0.10340000000000001</v>
      </c>
      <c r="J20" s="56">
        <v>0.12559999999999999</v>
      </c>
      <c r="K20" s="57">
        <v>3051607</v>
      </c>
      <c r="L20" s="56">
        <v>2.9000000000000001E-2</v>
      </c>
      <c r="M20" s="58">
        <v>3.1587458014796073E-2</v>
      </c>
      <c r="N20" s="59">
        <v>2.545934696460975</v>
      </c>
      <c r="O20" s="65">
        <v>0.71</v>
      </c>
      <c r="P20" s="68" t="s">
        <v>46</v>
      </c>
      <c r="Q20" s="69">
        <v>46619</v>
      </c>
      <c r="R20" s="68" t="s">
        <v>182</v>
      </c>
      <c r="S20" s="68" t="s">
        <v>166</v>
      </c>
    </row>
    <row r="21" spans="1:19" ht="39.950000000000003" customHeight="1">
      <c r="A21" s="4"/>
      <c r="B21" s="26">
        <v>12</v>
      </c>
      <c r="C21" s="26" t="s">
        <v>95</v>
      </c>
      <c r="D21" s="55" t="s">
        <v>70</v>
      </c>
      <c r="E21" s="55" t="s">
        <v>118</v>
      </c>
      <c r="F21" s="55" t="s">
        <v>36</v>
      </c>
      <c r="G21" s="55" t="s">
        <v>102</v>
      </c>
      <c r="H21" s="55" t="s">
        <v>88</v>
      </c>
      <c r="I21" s="56">
        <v>0.11</v>
      </c>
      <c r="J21" s="56">
        <v>0.1178</v>
      </c>
      <c r="K21" s="57">
        <v>2966690</v>
      </c>
      <c r="L21" s="56">
        <v>2.8000000000000001E-2</v>
      </c>
      <c r="M21" s="58">
        <v>3.0708475929691104E-2</v>
      </c>
      <c r="N21" s="59">
        <v>3.4610703265032607</v>
      </c>
      <c r="O21" s="65" t="s">
        <v>42</v>
      </c>
      <c r="P21" s="68" t="s">
        <v>26</v>
      </c>
      <c r="Q21" s="69">
        <v>48542</v>
      </c>
      <c r="R21" s="68" t="s">
        <v>181</v>
      </c>
      <c r="S21" s="68" t="s">
        <v>166</v>
      </c>
    </row>
    <row r="22" spans="1:19" ht="39.950000000000003" customHeight="1">
      <c r="B22" s="26">
        <v>13</v>
      </c>
      <c r="C22" s="26" t="s">
        <v>95</v>
      </c>
      <c r="D22" s="55" t="s">
        <v>213</v>
      </c>
      <c r="E22" s="55" t="s">
        <v>214</v>
      </c>
      <c r="F22" s="55" t="s">
        <v>39</v>
      </c>
      <c r="G22" s="55" t="s">
        <v>96</v>
      </c>
      <c r="H22" s="55" t="s">
        <v>217</v>
      </c>
      <c r="I22" s="56">
        <v>0.18779999999999999</v>
      </c>
      <c r="J22" s="56">
        <v>0.1699</v>
      </c>
      <c r="K22" s="57">
        <v>2552812</v>
      </c>
      <c r="L22" s="56">
        <v>2.4E-2</v>
      </c>
      <c r="M22" s="58">
        <v>2.642438598787689E-2</v>
      </c>
      <c r="N22" s="59">
        <v>2.4429928486815999</v>
      </c>
      <c r="O22" s="65">
        <v>0.75</v>
      </c>
      <c r="P22" s="68" t="s">
        <v>29</v>
      </c>
      <c r="Q22" s="69">
        <v>46840</v>
      </c>
      <c r="R22" s="68" t="s">
        <v>223</v>
      </c>
      <c r="S22" s="68" t="s">
        <v>176</v>
      </c>
    </row>
    <row r="23" spans="1:19" ht="39.950000000000003" customHeight="1">
      <c r="A23" s="4"/>
      <c r="B23" s="26">
        <v>14</v>
      </c>
      <c r="C23" s="26" t="s">
        <v>95</v>
      </c>
      <c r="D23" s="55" t="s">
        <v>68</v>
      </c>
      <c r="E23" s="55" t="s">
        <v>116</v>
      </c>
      <c r="F23" s="55" t="s">
        <v>44</v>
      </c>
      <c r="G23" s="55" t="s">
        <v>115</v>
      </c>
      <c r="H23" s="55" t="s">
        <v>88</v>
      </c>
      <c r="I23" s="56">
        <v>5.7000000000000002E-2</v>
      </c>
      <c r="J23" s="56">
        <v>7.4499999999999997E-2</v>
      </c>
      <c r="K23" s="57">
        <v>2527065</v>
      </c>
      <c r="L23" s="56">
        <v>2.4E-2</v>
      </c>
      <c r="M23" s="58">
        <v>2.6157874323627678E-2</v>
      </c>
      <c r="N23" s="59">
        <v>7.0789974038874597</v>
      </c>
      <c r="O23" s="65">
        <v>0.60499999999999998</v>
      </c>
      <c r="P23" s="68" t="s">
        <v>23</v>
      </c>
      <c r="Q23" s="69">
        <v>51702</v>
      </c>
      <c r="R23" s="68" t="s">
        <v>184</v>
      </c>
      <c r="S23" s="68" t="s">
        <v>170</v>
      </c>
    </row>
    <row r="24" spans="1:19" ht="39.950000000000003" customHeight="1">
      <c r="B24" s="26">
        <v>15</v>
      </c>
      <c r="C24" s="26" t="s">
        <v>95</v>
      </c>
      <c r="D24" s="55" t="s">
        <v>67</v>
      </c>
      <c r="E24" s="55" t="s">
        <v>114</v>
      </c>
      <c r="F24" s="55" t="s">
        <v>44</v>
      </c>
      <c r="G24" s="55" t="s">
        <v>101</v>
      </c>
      <c r="H24" s="55" t="s">
        <v>88</v>
      </c>
      <c r="I24" s="56">
        <v>5.9700000000000003E-2</v>
      </c>
      <c r="J24" s="56">
        <v>7.9600000000000004E-2</v>
      </c>
      <c r="K24" s="57">
        <v>2506248</v>
      </c>
      <c r="L24" s="56">
        <v>2.4E-2</v>
      </c>
      <c r="M24" s="58">
        <v>2.5942399612600822E-2</v>
      </c>
      <c r="N24" s="59">
        <v>5.3549789656149995</v>
      </c>
      <c r="O24" s="65">
        <v>0.76986912663199547</v>
      </c>
      <c r="P24" s="68" t="s">
        <v>22</v>
      </c>
      <c r="Q24" s="69">
        <v>50019</v>
      </c>
      <c r="R24" s="68" t="s">
        <v>185</v>
      </c>
      <c r="S24" s="68" t="s">
        <v>183</v>
      </c>
    </row>
    <row r="25" spans="1:19" ht="39.950000000000003" customHeight="1">
      <c r="A25" s="4"/>
      <c r="B25" s="26">
        <v>16</v>
      </c>
      <c r="C25" s="26" t="s">
        <v>95</v>
      </c>
      <c r="D25" s="55" t="s">
        <v>65</v>
      </c>
      <c r="E25" s="55" t="s">
        <v>112</v>
      </c>
      <c r="F25" s="55" t="s">
        <v>21</v>
      </c>
      <c r="G25" s="55" t="s">
        <v>93</v>
      </c>
      <c r="H25" s="55" t="s">
        <v>88</v>
      </c>
      <c r="I25" s="56">
        <v>7.5399999999999995E-2</v>
      </c>
      <c r="J25" s="56">
        <v>9.4100000000000003E-2</v>
      </c>
      <c r="K25" s="57">
        <v>2434414</v>
      </c>
      <c r="L25" s="56">
        <v>2.3E-2</v>
      </c>
      <c r="M25" s="58">
        <v>2.5198841162105703E-2</v>
      </c>
      <c r="N25" s="59">
        <v>6.5048566249991557</v>
      </c>
      <c r="O25" s="65">
        <v>0.71</v>
      </c>
      <c r="P25" s="68" t="s">
        <v>42</v>
      </c>
      <c r="Q25" s="69">
        <v>51454</v>
      </c>
      <c r="R25" s="68" t="s">
        <v>187</v>
      </c>
      <c r="S25" s="68" t="s">
        <v>188</v>
      </c>
    </row>
    <row r="26" spans="1:19" ht="39.950000000000003" customHeight="1">
      <c r="B26" s="26">
        <v>17</v>
      </c>
      <c r="C26" s="26" t="s">
        <v>95</v>
      </c>
      <c r="D26" s="55" t="s">
        <v>215</v>
      </c>
      <c r="E26" s="55" t="s">
        <v>216</v>
      </c>
      <c r="F26" s="55" t="s">
        <v>30</v>
      </c>
      <c r="G26" s="55" t="s">
        <v>102</v>
      </c>
      <c r="H26" s="55" t="s">
        <v>88</v>
      </c>
      <c r="I26" s="56">
        <v>0.1061</v>
      </c>
      <c r="J26" s="56">
        <v>9.8199999999999996E-2</v>
      </c>
      <c r="K26" s="57">
        <v>2381476</v>
      </c>
      <c r="L26" s="56">
        <v>2.3E-2</v>
      </c>
      <c r="M26" s="58">
        <v>2.4650872248061513E-2</v>
      </c>
      <c r="N26" s="59">
        <v>4.6189245655323257</v>
      </c>
      <c r="O26" s="65">
        <v>0.66225165562913912</v>
      </c>
      <c r="P26" s="68" t="s">
        <v>42</v>
      </c>
      <c r="Q26" s="69">
        <v>49667</v>
      </c>
      <c r="R26" s="68" t="s">
        <v>224</v>
      </c>
      <c r="S26" s="68" t="s">
        <v>192</v>
      </c>
    </row>
    <row r="27" spans="1:19" ht="39.950000000000003" customHeight="1">
      <c r="A27" s="4"/>
      <c r="B27" s="26">
        <v>18</v>
      </c>
      <c r="C27" s="26" t="s">
        <v>95</v>
      </c>
      <c r="D27" s="55" t="s">
        <v>66</v>
      </c>
      <c r="E27" s="55" t="s">
        <v>113</v>
      </c>
      <c r="F27" s="55" t="s">
        <v>33</v>
      </c>
      <c r="G27" s="55" t="s">
        <v>93</v>
      </c>
      <c r="H27" s="55" t="s">
        <v>108</v>
      </c>
      <c r="I27" s="56">
        <v>6.8000000000000005E-2</v>
      </c>
      <c r="J27" s="56">
        <v>6.8000000000000005E-2</v>
      </c>
      <c r="K27" s="57">
        <v>2371781</v>
      </c>
      <c r="L27" s="56">
        <v>2.3E-2</v>
      </c>
      <c r="M27" s="58">
        <v>2.4550522073521781E-2</v>
      </c>
      <c r="N27" s="59">
        <v>1.3800151497554809</v>
      </c>
      <c r="O27" s="65">
        <v>0.47458892159751703</v>
      </c>
      <c r="P27" s="68" t="s">
        <v>31</v>
      </c>
      <c r="Q27" s="69">
        <v>46225</v>
      </c>
      <c r="R27" s="68" t="s">
        <v>186</v>
      </c>
      <c r="S27" s="68" t="s">
        <v>166</v>
      </c>
    </row>
    <row r="28" spans="1:19" ht="39.950000000000003" customHeight="1">
      <c r="B28" s="26">
        <v>19</v>
      </c>
      <c r="C28" s="26" t="s">
        <v>95</v>
      </c>
      <c r="D28" s="55" t="s">
        <v>71</v>
      </c>
      <c r="E28" s="55" t="s">
        <v>119</v>
      </c>
      <c r="F28" s="55" t="s">
        <v>30</v>
      </c>
      <c r="G28" s="55" t="s">
        <v>93</v>
      </c>
      <c r="H28" s="55" t="s">
        <v>88</v>
      </c>
      <c r="I28" s="56">
        <v>9.5000000000000001E-2</v>
      </c>
      <c r="J28" s="56">
        <v>0.1197</v>
      </c>
      <c r="K28" s="57">
        <v>2308084</v>
      </c>
      <c r="L28" s="56">
        <v>2.1999999999999999E-2</v>
      </c>
      <c r="M28" s="58">
        <v>2.389118853757205E-2</v>
      </c>
      <c r="N28" s="59">
        <v>2.4647380581602647</v>
      </c>
      <c r="O28" s="65">
        <v>0.43103448275862066</v>
      </c>
      <c r="P28" s="68" t="s">
        <v>42</v>
      </c>
      <c r="Q28" s="69">
        <v>48689</v>
      </c>
      <c r="R28" s="68" t="s">
        <v>180</v>
      </c>
      <c r="S28" s="68" t="s">
        <v>172</v>
      </c>
    </row>
    <row r="29" spans="1:19" ht="39.950000000000003" customHeight="1">
      <c r="A29" s="4"/>
      <c r="B29" s="26">
        <v>20</v>
      </c>
      <c r="C29" s="26" t="s">
        <v>95</v>
      </c>
      <c r="D29" s="55" t="s">
        <v>72</v>
      </c>
      <c r="E29" s="55" t="s">
        <v>120</v>
      </c>
      <c r="F29" s="55" t="s">
        <v>30</v>
      </c>
      <c r="G29" s="55" t="s">
        <v>99</v>
      </c>
      <c r="H29" s="55" t="s">
        <v>88</v>
      </c>
      <c r="I29" s="56">
        <v>0.12</v>
      </c>
      <c r="J29" s="56">
        <v>0.12089999999999999</v>
      </c>
      <c r="K29" s="57">
        <v>2251837</v>
      </c>
      <c r="L29" s="56">
        <v>2.1999999999999999E-2</v>
      </c>
      <c r="M29" s="58">
        <v>2.3308973675176006E-2</v>
      </c>
      <c r="N29" s="59">
        <v>3.0587388795226396</v>
      </c>
      <c r="O29" s="65">
        <v>0.72013778349874746</v>
      </c>
      <c r="P29" s="68" t="s">
        <v>46</v>
      </c>
      <c r="Q29" s="69">
        <v>48085</v>
      </c>
      <c r="R29" s="68" t="s">
        <v>179</v>
      </c>
      <c r="S29" s="68" t="s">
        <v>166</v>
      </c>
    </row>
    <row r="30" spans="1:19" ht="39.950000000000003" customHeight="1">
      <c r="B30" s="26">
        <v>21</v>
      </c>
      <c r="C30" s="26" t="s">
        <v>95</v>
      </c>
      <c r="D30" s="55" t="s">
        <v>63</v>
      </c>
      <c r="E30" s="55" t="s">
        <v>109</v>
      </c>
      <c r="F30" s="55" t="s">
        <v>30</v>
      </c>
      <c r="G30" s="55" t="s">
        <v>93</v>
      </c>
      <c r="H30" s="55" t="s">
        <v>108</v>
      </c>
      <c r="I30" s="56">
        <v>4.3900000000000002E-2</v>
      </c>
      <c r="J30" s="56">
        <v>3.7499999999999999E-2</v>
      </c>
      <c r="K30" s="57">
        <v>2014063</v>
      </c>
      <c r="L30" s="56">
        <v>1.9E-2</v>
      </c>
      <c r="M30" s="58">
        <v>2.0847748110581328E-2</v>
      </c>
      <c r="N30" s="59">
        <v>2.3414923798271201</v>
      </c>
      <c r="O30" s="65">
        <v>0.54207428997788365</v>
      </c>
      <c r="P30" s="68" t="s">
        <v>46</v>
      </c>
      <c r="Q30" s="69">
        <v>47597</v>
      </c>
      <c r="R30" s="68" t="s">
        <v>191</v>
      </c>
      <c r="S30" s="68" t="s">
        <v>192</v>
      </c>
    </row>
    <row r="31" spans="1:19" ht="39.950000000000003" customHeight="1">
      <c r="A31" s="4"/>
      <c r="B31" s="26">
        <v>22</v>
      </c>
      <c r="C31" s="26" t="s">
        <v>95</v>
      </c>
      <c r="D31" s="55" t="s">
        <v>61</v>
      </c>
      <c r="E31" s="55" t="s">
        <v>106</v>
      </c>
      <c r="F31" s="55" t="s">
        <v>39</v>
      </c>
      <c r="G31" s="55" t="s">
        <v>102</v>
      </c>
      <c r="H31" s="55" t="s">
        <v>88</v>
      </c>
      <c r="I31" s="56">
        <v>7.4999999999999997E-2</v>
      </c>
      <c r="J31" s="56">
        <v>0.10299999999999999</v>
      </c>
      <c r="K31" s="57">
        <v>1813550</v>
      </c>
      <c r="L31" s="56">
        <v>1.7000000000000001E-2</v>
      </c>
      <c r="M31" s="58">
        <v>1.8772222757711086E-2</v>
      </c>
      <c r="N31" s="59">
        <v>3.6258344905269819</v>
      </c>
      <c r="O31" s="65">
        <v>0.55100000000000005</v>
      </c>
      <c r="P31" s="68" t="s">
        <v>46</v>
      </c>
      <c r="Q31" s="69">
        <v>48534</v>
      </c>
      <c r="R31" s="68" t="s">
        <v>195</v>
      </c>
      <c r="S31" s="68" t="s">
        <v>196</v>
      </c>
    </row>
    <row r="32" spans="1:19" ht="39.950000000000003" customHeight="1">
      <c r="A32" s="4"/>
      <c r="B32" s="26">
        <v>23</v>
      </c>
      <c r="C32" s="26" t="s">
        <v>95</v>
      </c>
      <c r="D32" s="55" t="s">
        <v>62</v>
      </c>
      <c r="E32" s="55" t="s">
        <v>107</v>
      </c>
      <c r="F32" s="55" t="s">
        <v>21</v>
      </c>
      <c r="G32" s="55" t="s">
        <v>102</v>
      </c>
      <c r="H32" s="55" t="s">
        <v>88</v>
      </c>
      <c r="I32" s="56">
        <v>7.3599999999999999E-2</v>
      </c>
      <c r="J32" s="56">
        <v>0.12889999999999999</v>
      </c>
      <c r="K32" s="57">
        <v>1673700</v>
      </c>
      <c r="L32" s="56">
        <v>1.6E-2</v>
      </c>
      <c r="M32" s="58">
        <v>1.7324617100480992E-2</v>
      </c>
      <c r="N32" s="59">
        <v>1.3264012000500254</v>
      </c>
      <c r="O32" s="65" t="s">
        <v>42</v>
      </c>
      <c r="P32" s="68" t="s">
        <v>42</v>
      </c>
      <c r="Q32" s="69">
        <v>46615</v>
      </c>
      <c r="R32" s="68" t="s">
        <v>193</v>
      </c>
      <c r="S32" s="68" t="s">
        <v>194</v>
      </c>
    </row>
    <row r="33" spans="1:19" ht="39.950000000000003" customHeight="1">
      <c r="A33" s="4"/>
      <c r="B33" s="26">
        <v>24</v>
      </c>
      <c r="C33" s="26" t="s">
        <v>95</v>
      </c>
      <c r="D33" s="55" t="s">
        <v>60</v>
      </c>
      <c r="E33" s="55" t="s">
        <v>105</v>
      </c>
      <c r="F33" s="55" t="s">
        <v>33</v>
      </c>
      <c r="G33" s="55" t="s">
        <v>99</v>
      </c>
      <c r="H33" s="55" t="s">
        <v>88</v>
      </c>
      <c r="I33" s="56">
        <v>6.5000000000000002E-2</v>
      </c>
      <c r="J33" s="56">
        <v>8.6199999999999999E-2</v>
      </c>
      <c r="K33" s="57">
        <v>1590154</v>
      </c>
      <c r="L33" s="56">
        <v>1.4999999999999999E-2</v>
      </c>
      <c r="M33" s="58">
        <v>1.645983157841736E-2</v>
      </c>
      <c r="N33" s="59">
        <v>3.933666569329235</v>
      </c>
      <c r="O33" s="65">
        <v>0.75</v>
      </c>
      <c r="P33" s="68" t="s">
        <v>46</v>
      </c>
      <c r="Q33" s="69">
        <v>49836</v>
      </c>
      <c r="R33" s="68" t="s">
        <v>197</v>
      </c>
      <c r="S33" s="68" t="s">
        <v>198</v>
      </c>
    </row>
    <row r="34" spans="1:19" ht="45" customHeight="1">
      <c r="A34" s="4"/>
      <c r="B34" s="26">
        <v>25</v>
      </c>
      <c r="C34" s="26" t="s">
        <v>95</v>
      </c>
      <c r="D34" s="55" t="s">
        <v>54</v>
      </c>
      <c r="E34" s="55" t="s">
        <v>94</v>
      </c>
      <c r="F34" s="55" t="s">
        <v>44</v>
      </c>
      <c r="G34" s="55" t="s">
        <v>93</v>
      </c>
      <c r="H34" s="55" t="s">
        <v>88</v>
      </c>
      <c r="I34" s="56">
        <v>7.4999999999999997E-2</v>
      </c>
      <c r="J34" s="56">
        <v>9.1600000000000001E-2</v>
      </c>
      <c r="K34" s="57">
        <v>1358170</v>
      </c>
      <c r="L34" s="56">
        <v>1.2999999999999999E-2</v>
      </c>
      <c r="M34" s="58">
        <v>1.4058544618137984E-2</v>
      </c>
      <c r="N34" s="59">
        <v>3.2476955646464827</v>
      </c>
      <c r="O34" s="65">
        <v>0.27</v>
      </c>
      <c r="P34" s="68" t="s">
        <v>46</v>
      </c>
      <c r="Q34" s="69">
        <v>48197</v>
      </c>
      <c r="R34" s="68" t="s">
        <v>173</v>
      </c>
      <c r="S34" s="68" t="s">
        <v>168</v>
      </c>
    </row>
    <row r="35" spans="1:19" ht="39.950000000000003" customHeight="1">
      <c r="B35" s="26">
        <v>26</v>
      </c>
      <c r="C35" s="26" t="s">
        <v>95</v>
      </c>
      <c r="D35" s="55" t="s">
        <v>59</v>
      </c>
      <c r="E35" s="55" t="s">
        <v>104</v>
      </c>
      <c r="F35" s="55" t="s">
        <v>25</v>
      </c>
      <c r="G35" s="55" t="s">
        <v>93</v>
      </c>
      <c r="H35" s="55" t="s">
        <v>88</v>
      </c>
      <c r="I35" s="56">
        <v>6.1600000000000002E-2</v>
      </c>
      <c r="J35" s="56">
        <v>8.6300000000000002E-2</v>
      </c>
      <c r="K35" s="57">
        <v>1354903</v>
      </c>
      <c r="L35" s="56">
        <v>1.2999999999999999E-2</v>
      </c>
      <c r="M35" s="58">
        <v>1.4024726460688856E-2</v>
      </c>
      <c r="N35" s="59">
        <v>4.2492525197717663</v>
      </c>
      <c r="O35" s="65">
        <v>0.52580000000000005</v>
      </c>
      <c r="P35" s="68" t="s">
        <v>42</v>
      </c>
      <c r="Q35" s="69">
        <v>49779</v>
      </c>
      <c r="R35" s="68" t="s">
        <v>199</v>
      </c>
      <c r="S35" s="68" t="s">
        <v>200</v>
      </c>
    </row>
    <row r="36" spans="1:19" ht="39.950000000000003" customHeight="1">
      <c r="B36" s="26">
        <v>27</v>
      </c>
      <c r="C36" s="26" t="s">
        <v>95</v>
      </c>
      <c r="D36" s="60" t="s">
        <v>64</v>
      </c>
      <c r="E36" s="55" t="s">
        <v>111</v>
      </c>
      <c r="F36" s="55" t="s">
        <v>44</v>
      </c>
      <c r="G36" s="55" t="s">
        <v>110</v>
      </c>
      <c r="H36" s="55" t="s">
        <v>88</v>
      </c>
      <c r="I36" s="56">
        <v>6.25E-2</v>
      </c>
      <c r="J36" s="56">
        <v>0.1414</v>
      </c>
      <c r="K36" s="57">
        <v>1235929</v>
      </c>
      <c r="L36" s="56">
        <v>1.2E-2</v>
      </c>
      <c r="M36" s="58">
        <v>1.2793209088830608E-2</v>
      </c>
      <c r="N36" s="59">
        <v>0.69964323890705149</v>
      </c>
      <c r="O36" s="65">
        <v>0.46200000000000002</v>
      </c>
      <c r="P36" s="68" t="s">
        <v>46</v>
      </c>
      <c r="Q36" s="69">
        <v>46136</v>
      </c>
      <c r="R36" s="68" t="s">
        <v>189</v>
      </c>
      <c r="S36" s="68" t="s">
        <v>190</v>
      </c>
    </row>
    <row r="37" spans="1:19" ht="39.950000000000003" customHeight="1">
      <c r="B37" s="26">
        <v>28</v>
      </c>
      <c r="C37" s="26" t="s">
        <v>95</v>
      </c>
      <c r="D37" s="55" t="s">
        <v>57</v>
      </c>
      <c r="E37" s="55" t="s">
        <v>100</v>
      </c>
      <c r="F37" s="55" t="s">
        <v>33</v>
      </c>
      <c r="G37" s="55" t="s">
        <v>99</v>
      </c>
      <c r="H37" s="55" t="s">
        <v>108</v>
      </c>
      <c r="I37" s="56">
        <v>4.4999999999999998E-2</v>
      </c>
      <c r="J37" s="56">
        <v>3.3799999999999997E-2</v>
      </c>
      <c r="K37" s="57">
        <v>1165070</v>
      </c>
      <c r="L37" s="56">
        <v>1.0999999999999999E-2</v>
      </c>
      <c r="M37" s="58">
        <v>1.2059744290990677E-2</v>
      </c>
      <c r="N37" s="59">
        <v>1.5</v>
      </c>
      <c r="O37" s="65">
        <v>0.82452062911393531</v>
      </c>
      <c r="P37" s="68" t="s">
        <v>37</v>
      </c>
      <c r="Q37" s="69">
        <v>47021</v>
      </c>
      <c r="R37" s="68" t="s">
        <v>202</v>
      </c>
      <c r="S37" s="68" t="s">
        <v>166</v>
      </c>
    </row>
    <row r="38" spans="1:19" ht="39.950000000000003" customHeight="1">
      <c r="B38" s="26">
        <v>29</v>
      </c>
      <c r="C38" s="26" t="s">
        <v>95</v>
      </c>
      <c r="D38" s="55" t="s">
        <v>58</v>
      </c>
      <c r="E38" s="55" t="s">
        <v>103</v>
      </c>
      <c r="F38" s="55" t="s">
        <v>25</v>
      </c>
      <c r="G38" s="55" t="s">
        <v>102</v>
      </c>
      <c r="H38" s="55" t="s">
        <v>88</v>
      </c>
      <c r="I38" s="56">
        <v>7.0000000000000007E-2</v>
      </c>
      <c r="J38" s="56">
        <v>0.1041</v>
      </c>
      <c r="K38" s="57">
        <v>1090677</v>
      </c>
      <c r="L38" s="56">
        <v>0.01</v>
      </c>
      <c r="M38" s="58">
        <v>1.1289697809844474E-2</v>
      </c>
      <c r="N38" s="59">
        <v>4.4057864506766391</v>
      </c>
      <c r="O38" s="65">
        <v>0.34</v>
      </c>
      <c r="P38" s="68" t="s">
        <v>42</v>
      </c>
      <c r="Q38" s="69">
        <v>49699</v>
      </c>
      <c r="R38" s="68" t="s">
        <v>201</v>
      </c>
      <c r="S38" s="68" t="s">
        <v>200</v>
      </c>
    </row>
    <row r="39" spans="1:19" ht="39.950000000000003" customHeight="1">
      <c r="B39" s="26">
        <v>30</v>
      </c>
      <c r="C39" s="26" t="s">
        <v>95</v>
      </c>
      <c r="D39" s="55" t="s">
        <v>56</v>
      </c>
      <c r="E39" s="55" t="s">
        <v>98</v>
      </c>
      <c r="F39" s="55" t="s">
        <v>33</v>
      </c>
      <c r="G39" s="55" t="s">
        <v>93</v>
      </c>
      <c r="H39" s="55" t="s">
        <v>88</v>
      </c>
      <c r="I39" s="56">
        <v>0.10349999999999999</v>
      </c>
      <c r="J39" s="56">
        <v>0.1207</v>
      </c>
      <c r="K39" s="57">
        <v>940561</v>
      </c>
      <c r="L39" s="56">
        <v>8.9999999999999993E-3</v>
      </c>
      <c r="M39" s="58">
        <v>9.7358322920898833E-3</v>
      </c>
      <c r="N39" s="59">
        <v>5.8304421124178392</v>
      </c>
      <c r="O39" s="65">
        <v>0.42</v>
      </c>
      <c r="P39" s="68" t="s">
        <v>34</v>
      </c>
      <c r="Q39" s="69">
        <v>48745</v>
      </c>
      <c r="R39" s="68" t="s">
        <v>165</v>
      </c>
      <c r="S39" s="68" t="s">
        <v>166</v>
      </c>
    </row>
    <row r="40" spans="1:19" ht="39.950000000000003" customHeight="1">
      <c r="B40" s="52">
        <v>31</v>
      </c>
      <c r="C40" s="52" t="s">
        <v>95</v>
      </c>
      <c r="D40" s="52" t="s">
        <v>218</v>
      </c>
      <c r="E40" s="52" t="s">
        <v>219</v>
      </c>
      <c r="F40" s="52" t="s">
        <v>25</v>
      </c>
      <c r="G40" s="52" t="s">
        <v>220</v>
      </c>
      <c r="H40" s="52" t="s">
        <v>88</v>
      </c>
      <c r="I40" s="53">
        <v>5.9400000000000001E-2</v>
      </c>
      <c r="J40" s="53">
        <v>0.1133</v>
      </c>
      <c r="K40" s="54">
        <v>793782</v>
      </c>
      <c r="L40" s="53">
        <v>8.0000000000000002E-3</v>
      </c>
      <c r="M40" s="58">
        <v>8.216510340346133E-3</v>
      </c>
      <c r="N40" s="59">
        <v>6.1697949682447222</v>
      </c>
      <c r="O40" s="65">
        <v>0.35580000000000001</v>
      </c>
      <c r="P40" s="59" t="s">
        <v>42</v>
      </c>
      <c r="Q40" s="69">
        <v>51424</v>
      </c>
      <c r="R40" s="68" t="s">
        <v>203</v>
      </c>
      <c r="S40" s="68" t="s">
        <v>200</v>
      </c>
    </row>
    <row r="41" spans="1:19" ht="39.950000000000003" customHeight="1">
      <c r="B41" s="55">
        <v>32</v>
      </c>
      <c r="C41" s="55" t="s">
        <v>95</v>
      </c>
      <c r="D41" s="55" t="s">
        <v>221</v>
      </c>
      <c r="E41" s="55" t="s">
        <v>222</v>
      </c>
      <c r="F41" s="55" t="s">
        <v>33</v>
      </c>
      <c r="G41" s="55" t="s">
        <v>96</v>
      </c>
      <c r="H41" s="55" t="s">
        <v>88</v>
      </c>
      <c r="I41" s="56">
        <v>0.1065</v>
      </c>
      <c r="J41" s="56">
        <v>0.12559999999999999</v>
      </c>
      <c r="K41" s="57">
        <v>692604</v>
      </c>
      <c r="L41" s="56">
        <v>7.0000000000000001E-3</v>
      </c>
      <c r="M41" s="58">
        <v>7.1692069121663754E-3</v>
      </c>
      <c r="N41" s="59">
        <v>3.2189919456362066</v>
      </c>
      <c r="O41" s="65">
        <v>0.42</v>
      </c>
      <c r="P41" s="59" t="s">
        <v>31</v>
      </c>
      <c r="Q41" s="69">
        <v>47052</v>
      </c>
      <c r="R41" s="68" t="s">
        <v>204</v>
      </c>
      <c r="S41" s="68" t="s">
        <v>166</v>
      </c>
    </row>
    <row r="42" spans="1:19" ht="39.950000000000003" customHeight="1">
      <c r="B42" s="55">
        <v>33</v>
      </c>
      <c r="C42" s="55" t="s">
        <v>95</v>
      </c>
      <c r="D42" s="55" t="s">
        <v>55</v>
      </c>
      <c r="E42" s="55" t="s">
        <v>97</v>
      </c>
      <c r="F42" s="55" t="s">
        <v>36</v>
      </c>
      <c r="G42" s="55" t="s">
        <v>96</v>
      </c>
      <c r="H42" s="55" t="s">
        <v>88</v>
      </c>
      <c r="I42" s="56">
        <v>0.1086</v>
      </c>
      <c r="J42" s="56">
        <v>6.9500000000000006E-2</v>
      </c>
      <c r="K42" s="57">
        <v>494422</v>
      </c>
      <c r="L42" s="56">
        <v>5.0000000000000001E-3</v>
      </c>
      <c r="M42" s="58">
        <v>5.1178107058140387E-3</v>
      </c>
      <c r="N42" s="59">
        <v>3.382111476520381</v>
      </c>
      <c r="O42" s="65" t="s">
        <v>42</v>
      </c>
      <c r="P42" s="59" t="s">
        <v>37</v>
      </c>
      <c r="Q42" s="69">
        <v>48606</v>
      </c>
      <c r="R42" s="68" t="s">
        <v>174</v>
      </c>
      <c r="S42" s="68" t="s">
        <v>166</v>
      </c>
    </row>
    <row r="43" spans="1:19" ht="39.950000000000003" customHeight="1">
      <c r="B43" s="55">
        <v>34</v>
      </c>
      <c r="C43" s="55" t="s">
        <v>95</v>
      </c>
      <c r="D43" s="55" t="s">
        <v>207</v>
      </c>
      <c r="E43" s="55" t="s">
        <v>94</v>
      </c>
      <c r="F43" s="55" t="s">
        <v>44</v>
      </c>
      <c r="G43" s="55" t="s">
        <v>93</v>
      </c>
      <c r="H43" s="55" t="s">
        <v>88</v>
      </c>
      <c r="I43" s="56">
        <v>7.4999999999999997E-2</v>
      </c>
      <c r="J43" s="56">
        <v>9.1499999999999998E-2</v>
      </c>
      <c r="K43" s="57">
        <v>449641</v>
      </c>
      <c r="L43" s="56">
        <v>4.0000000000000001E-3</v>
      </c>
      <c r="M43" s="58">
        <v>4.6542775776955104E-3</v>
      </c>
      <c r="N43" s="59">
        <v>3.2476955646464827</v>
      </c>
      <c r="O43" s="65">
        <v>0.27</v>
      </c>
      <c r="P43" s="59" t="s">
        <v>46</v>
      </c>
      <c r="Q43" s="69">
        <v>48197</v>
      </c>
      <c r="R43" s="68" t="s">
        <v>173</v>
      </c>
      <c r="S43" s="68" t="s">
        <v>168</v>
      </c>
    </row>
    <row r="44" spans="1:19" ht="39.950000000000003" customHeight="1">
      <c r="B44" s="61">
        <v>35</v>
      </c>
      <c r="C44" s="61" t="s">
        <v>92</v>
      </c>
      <c r="D44" s="61" t="s">
        <v>91</v>
      </c>
      <c r="E44" s="61" t="s">
        <v>41</v>
      </c>
      <c r="F44" s="61" t="s">
        <v>42</v>
      </c>
      <c r="G44" s="61" t="s">
        <v>42</v>
      </c>
      <c r="H44" s="61" t="s">
        <v>42</v>
      </c>
      <c r="I44" s="61" t="s">
        <v>42</v>
      </c>
      <c r="J44" s="61" t="s">
        <v>42</v>
      </c>
      <c r="K44" s="62">
        <v>3580000</v>
      </c>
      <c r="L44" s="63">
        <v>3.4000000000000002E-2</v>
      </c>
      <c r="M44" s="61" t="s">
        <v>42</v>
      </c>
      <c r="N44" s="61" t="s">
        <v>42</v>
      </c>
      <c r="O44" s="66" t="s">
        <v>42</v>
      </c>
      <c r="P44" s="66" t="s">
        <v>42</v>
      </c>
      <c r="Q44" s="66" t="s">
        <v>42</v>
      </c>
      <c r="R44" s="66" t="s">
        <v>42</v>
      </c>
      <c r="S44" s="66" t="s">
        <v>42</v>
      </c>
    </row>
    <row r="45" spans="1:19" ht="39.950000000000003" customHeight="1">
      <c r="B45" s="55">
        <v>36</v>
      </c>
      <c r="C45" s="55" t="s">
        <v>90</v>
      </c>
      <c r="D45" s="55" t="s">
        <v>42</v>
      </c>
      <c r="E45" s="55" t="s">
        <v>89</v>
      </c>
      <c r="F45" s="55" t="s">
        <v>42</v>
      </c>
      <c r="G45" s="55" t="s">
        <v>42</v>
      </c>
      <c r="H45" s="55" t="s">
        <v>42</v>
      </c>
      <c r="I45" s="55" t="s">
        <v>42</v>
      </c>
      <c r="J45" s="55" t="s">
        <v>42</v>
      </c>
      <c r="K45" s="57">
        <v>4384483</v>
      </c>
      <c r="L45" s="56">
        <v>4.2000000000000003E-2</v>
      </c>
      <c r="M45" s="55" t="s">
        <v>42</v>
      </c>
      <c r="N45" s="55" t="s">
        <v>42</v>
      </c>
      <c r="O45" s="67" t="s">
        <v>42</v>
      </c>
      <c r="P45" s="67" t="s">
        <v>42</v>
      </c>
      <c r="Q45" s="67" t="s">
        <v>42</v>
      </c>
      <c r="R45" s="67" t="s">
        <v>42</v>
      </c>
      <c r="S45" s="67" t="s">
        <v>42</v>
      </c>
    </row>
    <row r="46" spans="1:19" ht="24.95" customHeight="1">
      <c r="B46" s="23"/>
      <c r="C46" s="23"/>
      <c r="D46" s="23"/>
      <c r="E46" s="23"/>
      <c r="F46" s="23"/>
      <c r="G46" s="23"/>
      <c r="H46" s="23"/>
      <c r="I46" s="27"/>
      <c r="J46" s="23"/>
      <c r="K46" s="24">
        <f>SUM(K10:K45)</f>
        <v>104572659</v>
      </c>
      <c r="L46" s="49">
        <f>SUM(L10:L45)</f>
        <v>1.0010000000000003</v>
      </c>
      <c r="M46" s="28"/>
      <c r="N46" s="42"/>
      <c r="O46" s="29"/>
      <c r="P46" s="28"/>
      <c r="Q46" s="30"/>
      <c r="R46" s="30"/>
      <c r="S46" s="30"/>
    </row>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47" customFormat="1"/>
    <row r="91" s="47" customFormat="1"/>
    <row r="92" s="50" customFormat="1"/>
    <row r="93" s="50" customFormat="1"/>
    <row r="94" s="50" customFormat="1"/>
    <row r="95" s="50" customFormat="1"/>
    <row r="96" s="50" customFormat="1"/>
    <row r="97" spans="1:13" s="73" customFormat="1" ht="17.25">
      <c r="A97" s="22"/>
      <c r="B97" s="70" t="s">
        <v>87</v>
      </c>
      <c r="C97" s="71" t="s">
        <v>86</v>
      </c>
      <c r="D97" s="71" t="s">
        <v>85</v>
      </c>
      <c r="E97" s="71" t="s">
        <v>84</v>
      </c>
      <c r="F97" s="71" t="s">
        <v>83</v>
      </c>
      <c r="G97" s="71" t="s">
        <v>82</v>
      </c>
      <c r="H97" s="71" t="s">
        <v>50</v>
      </c>
      <c r="I97" s="72" t="s">
        <v>52</v>
      </c>
      <c r="J97" s="72" t="s">
        <v>51</v>
      </c>
      <c r="K97" s="72" t="s">
        <v>81</v>
      </c>
      <c r="L97" s="72" t="s">
        <v>47</v>
      </c>
      <c r="M97" s="72"/>
    </row>
    <row r="98" spans="1:13" s="73" customFormat="1" ht="24">
      <c r="A98" s="22"/>
      <c r="B98" s="74" t="str">
        <f>D10</f>
        <v>23I1816075</v>
      </c>
      <c r="C98" s="74" t="str">
        <f>E10</f>
        <v>Lotus</v>
      </c>
      <c r="D98" s="75">
        <f>SUMIF($D$10:$D$43,B98,$L$10:$L$43)</f>
        <v>7.6999999999999999E-2</v>
      </c>
      <c r="E98" s="75">
        <f>SUMIF($D$10:$D$43,B98,$M$10:$M$43)</f>
        <v>8.2913646457808909E-2</v>
      </c>
      <c r="F98" s="76" t="str">
        <f>VLOOKUP($B98,D10:G43,4,FALSE)</f>
        <v>True</v>
      </c>
      <c r="G98" s="76" t="str">
        <f>VLOOKUP($B98,D10:G43,3,FALSE)</f>
        <v>Corporativo</v>
      </c>
      <c r="H98" s="76" t="str">
        <f>VLOOKUP($B98,D10:P43,13,FALSE)</f>
        <v>DF</v>
      </c>
      <c r="I98" s="77">
        <f>YEAR(VLOOKUP($B98,D10:Q43,14,FALSE))</f>
        <v>2033</v>
      </c>
      <c r="J98" s="76">
        <f t="shared" ref="J98" ca="1" si="0">YEAR(VLOOKUP(B98,$D$10:$N$43,11,FALSE)*365+TODAY())</f>
        <v>2029</v>
      </c>
      <c r="K98" s="76" t="str">
        <f t="shared" ref="K98:K128" si="1">LEFT(H10,4)</f>
        <v>IPCA</v>
      </c>
      <c r="L98" s="75">
        <f>SUMIF($D$10:$D$43,B98,$O$10:$O$43)</f>
        <v>0.44573643410852715</v>
      </c>
    </row>
    <row r="99" spans="1:13" s="73" customFormat="1" ht="24">
      <c r="A99" s="22"/>
      <c r="B99" s="74" t="str">
        <f t="shared" ref="B99:C99" si="2">D11</f>
        <v>23G0006601</v>
      </c>
      <c r="C99" s="76" t="str">
        <f t="shared" si="2"/>
        <v>Habitat</v>
      </c>
      <c r="D99" s="75">
        <f t="shared" ref="D99:D128" si="3">SUMIF($D$10:$D$43,B99,$L$10:$L$43)</f>
        <v>7.1999999999999995E-2</v>
      </c>
      <c r="E99" s="75">
        <f t="shared" ref="E99:E128" si="4">SUMIF($D$10:$D$43,B99,$M$10:$M$43)</f>
        <v>7.8166095309323072E-2</v>
      </c>
      <c r="F99" s="76" t="str">
        <f t="shared" ref="F99:F128" si="5">VLOOKUP($B99,D11:G46,4,FALSE)</f>
        <v>True</v>
      </c>
      <c r="G99" s="76" t="str">
        <f t="shared" ref="G99:G128" si="6">VLOOKUP($B99,D11:G46,3,FALSE)</f>
        <v>Corporativo</v>
      </c>
      <c r="H99" s="76" t="str">
        <f t="shared" ref="H99:H128" si="7">VLOOKUP($B99,D11:P46,13,FALSE)</f>
        <v>GO</v>
      </c>
      <c r="I99" s="77">
        <f t="shared" ref="I99:I128" si="8">YEAR(VLOOKUP($B99,D11:Q46,14,FALSE))</f>
        <v>2033</v>
      </c>
      <c r="J99" s="76">
        <f t="shared" ref="J99:J128" ca="1" si="9">YEAR(VLOOKUP(B99,$D$10:$N$43,11,FALSE)*365+TODAY())</f>
        <v>2028</v>
      </c>
      <c r="K99" s="76" t="str">
        <f t="shared" si="1"/>
        <v>IPCA</v>
      </c>
      <c r="L99" s="75">
        <f t="shared" ref="L99:L128" si="10">SUMIF($D$10:$D$43,B99,$O$10:$O$43)</f>
        <v>0.43</v>
      </c>
    </row>
    <row r="100" spans="1:13" s="73" customFormat="1" ht="24">
      <c r="A100" s="22"/>
      <c r="B100" s="74" t="str">
        <f t="shared" ref="B100:C100" si="11">D12</f>
        <v>23I1257019</v>
      </c>
      <c r="C100" s="76" t="str">
        <f t="shared" si="11"/>
        <v>CitLog Varginha</v>
      </c>
      <c r="D100" s="75">
        <f t="shared" si="3"/>
        <v>7.0000000000000007E-2</v>
      </c>
      <c r="E100" s="75">
        <f t="shared" si="4"/>
        <v>7.5223802990349295E-2</v>
      </c>
      <c r="F100" s="76" t="str">
        <f t="shared" si="5"/>
        <v>Habitasec</v>
      </c>
      <c r="G100" s="76" t="str">
        <f t="shared" si="6"/>
        <v>Galpões Logísticos</v>
      </c>
      <c r="H100" s="76" t="str">
        <f t="shared" si="7"/>
        <v>MG</v>
      </c>
      <c r="I100" s="77">
        <f t="shared" si="8"/>
        <v>2032</v>
      </c>
      <c r="J100" s="76">
        <f t="shared" ca="1" si="9"/>
        <v>2028</v>
      </c>
      <c r="K100" s="76" t="str">
        <f t="shared" si="1"/>
        <v>IPCA</v>
      </c>
      <c r="L100" s="75">
        <f t="shared" si="10"/>
        <v>0.56999999999999995</v>
      </c>
    </row>
    <row r="101" spans="1:13" s="73" customFormat="1" ht="24">
      <c r="A101" s="22"/>
      <c r="B101" s="74" t="str">
        <f t="shared" ref="B101:C101" si="12">D13</f>
        <v>23H1104566</v>
      </c>
      <c r="C101" s="76" t="str">
        <f t="shared" si="12"/>
        <v>Brasol</v>
      </c>
      <c r="D101" s="75">
        <f t="shared" si="3"/>
        <v>6.4000000000000001E-2</v>
      </c>
      <c r="E101" s="75">
        <f t="shared" si="4"/>
        <v>6.8954505618147921E-2</v>
      </c>
      <c r="F101" s="76" t="str">
        <f t="shared" si="5"/>
        <v>Canal</v>
      </c>
      <c r="G101" s="76" t="str">
        <f t="shared" si="6"/>
        <v>Energia</v>
      </c>
      <c r="H101" s="76" t="str">
        <f t="shared" si="7"/>
        <v>MT</v>
      </c>
      <c r="I101" s="77">
        <f t="shared" si="8"/>
        <v>2033</v>
      </c>
      <c r="J101" s="76">
        <f t="shared" ca="1" si="9"/>
        <v>2028</v>
      </c>
      <c r="K101" s="76" t="str">
        <f t="shared" si="1"/>
        <v>IPCA</v>
      </c>
      <c r="L101" s="75">
        <f t="shared" si="10"/>
        <v>0</v>
      </c>
    </row>
    <row r="102" spans="1:13" s="73" customFormat="1" ht="24">
      <c r="A102" s="22"/>
      <c r="B102" s="74" t="str">
        <f t="shared" ref="B102:C102" si="13">D14</f>
        <v>21L0355178</v>
      </c>
      <c r="C102" s="76" t="str">
        <f t="shared" si="13"/>
        <v>Viracopos</v>
      </c>
      <c r="D102" s="75">
        <f t="shared" si="3"/>
        <v>4.8000000000000001E-2</v>
      </c>
      <c r="E102" s="75">
        <f t="shared" si="4"/>
        <v>5.1589129562775567E-2</v>
      </c>
      <c r="F102" s="76" t="str">
        <f t="shared" si="5"/>
        <v>True</v>
      </c>
      <c r="G102" s="76" t="str">
        <f t="shared" si="6"/>
        <v>Galpões Logísticos</v>
      </c>
      <c r="H102" s="76" t="str">
        <f t="shared" si="7"/>
        <v>SP</v>
      </c>
      <c r="I102" s="77">
        <f t="shared" si="8"/>
        <v>2031</v>
      </c>
      <c r="J102" s="76">
        <f t="shared" ca="1" si="9"/>
        <v>2028</v>
      </c>
      <c r="K102" s="76" t="str">
        <f t="shared" si="1"/>
        <v>IPCA</v>
      </c>
      <c r="L102" s="75">
        <f t="shared" si="10"/>
        <v>0.27</v>
      </c>
    </row>
    <row r="103" spans="1:13" s="73" customFormat="1" ht="24">
      <c r="A103" s="22"/>
      <c r="B103" s="74" t="str">
        <f t="shared" ref="B103:C103" si="14">D15</f>
        <v>23J1338137</v>
      </c>
      <c r="C103" s="76" t="str">
        <f t="shared" si="14"/>
        <v>ForGreen</v>
      </c>
      <c r="D103" s="75">
        <f t="shared" si="3"/>
        <v>4.4999999999999998E-2</v>
      </c>
      <c r="E103" s="75">
        <f t="shared" si="4"/>
        <v>4.8794783785018461E-2</v>
      </c>
      <c r="F103" s="76" t="str">
        <f t="shared" si="5"/>
        <v>Canal</v>
      </c>
      <c r="G103" s="76" t="str">
        <f t="shared" si="6"/>
        <v>Energia</v>
      </c>
      <c r="H103" s="76" t="str">
        <f t="shared" si="7"/>
        <v>MG</v>
      </c>
      <c r="I103" s="77">
        <f t="shared" si="8"/>
        <v>2033</v>
      </c>
      <c r="J103" s="76">
        <f t="shared" ca="1" si="9"/>
        <v>2028</v>
      </c>
      <c r="K103" s="76" t="str">
        <f t="shared" si="1"/>
        <v>IPCA</v>
      </c>
      <c r="L103" s="75">
        <f t="shared" si="10"/>
        <v>0</v>
      </c>
    </row>
    <row r="104" spans="1:13" s="73" customFormat="1" ht="24">
      <c r="A104" s="22"/>
      <c r="B104" s="74" t="str">
        <f t="shared" ref="B104:C104" si="15">D16</f>
        <v>21H0888186</v>
      </c>
      <c r="C104" s="76" t="str">
        <f t="shared" si="15"/>
        <v>Opy</v>
      </c>
      <c r="D104" s="75">
        <f t="shared" si="3"/>
        <v>0.04</v>
      </c>
      <c r="E104" s="75">
        <f t="shared" si="4"/>
        <v>4.3316854719160219E-2</v>
      </c>
      <c r="F104" s="76" t="str">
        <f t="shared" si="5"/>
        <v>Virgo</v>
      </c>
      <c r="G104" s="76" t="str">
        <f t="shared" si="6"/>
        <v>Outros</v>
      </c>
      <c r="H104" s="76" t="str">
        <f t="shared" si="7"/>
        <v>MG</v>
      </c>
      <c r="I104" s="77">
        <f t="shared" si="8"/>
        <v>2031</v>
      </c>
      <c r="J104" s="76">
        <f t="shared" ca="1" si="9"/>
        <v>2028</v>
      </c>
      <c r="K104" s="76" t="str">
        <f t="shared" si="1"/>
        <v>IPCA</v>
      </c>
      <c r="L104" s="75">
        <f t="shared" si="10"/>
        <v>0.5</v>
      </c>
    </row>
    <row r="105" spans="1:13" s="73" customFormat="1" ht="24">
      <c r="A105" s="22"/>
      <c r="B105" s="74" t="str">
        <f t="shared" ref="B105:C105" si="16">D17</f>
        <v>24A2806776</v>
      </c>
      <c r="C105" s="76" t="str">
        <f t="shared" si="16"/>
        <v>RCP</v>
      </c>
      <c r="D105" s="75">
        <f t="shared" si="3"/>
        <v>0.04</v>
      </c>
      <c r="E105" s="75">
        <f t="shared" si="4"/>
        <v>4.2749490047695134E-2</v>
      </c>
      <c r="F105" s="76" t="str">
        <f t="shared" si="5"/>
        <v>Virgo</v>
      </c>
      <c r="G105" s="76" t="str">
        <f t="shared" si="6"/>
        <v>Galpões Logísticos</v>
      </c>
      <c r="H105" s="76" t="str">
        <f t="shared" si="7"/>
        <v>SP</v>
      </c>
      <c r="I105" s="77">
        <f t="shared" si="8"/>
        <v>2039</v>
      </c>
      <c r="J105" s="76">
        <f t="shared" ca="1" si="9"/>
        <v>2031</v>
      </c>
      <c r="K105" s="76" t="str">
        <f t="shared" si="1"/>
        <v>IPCA</v>
      </c>
      <c r="L105" s="75">
        <f t="shared" si="10"/>
        <v>0.38</v>
      </c>
    </row>
    <row r="106" spans="1:13" s="73" customFormat="1" ht="24">
      <c r="A106" s="22"/>
      <c r="B106" s="74" t="str">
        <f t="shared" ref="B106:C106" si="17">D18</f>
        <v>23J2272828</v>
      </c>
      <c r="C106" s="76" t="str">
        <f t="shared" si="17"/>
        <v>PHV</v>
      </c>
      <c r="D106" s="75">
        <f t="shared" si="3"/>
        <v>3.7999999999999999E-2</v>
      </c>
      <c r="E106" s="75">
        <f t="shared" si="4"/>
        <v>4.1317237768606727E-2</v>
      </c>
      <c r="F106" s="76" t="str">
        <f t="shared" si="5"/>
        <v>True</v>
      </c>
      <c r="G106" s="76" t="str">
        <f t="shared" si="6"/>
        <v>Residencial</v>
      </c>
      <c r="H106" s="76" t="str">
        <f t="shared" si="7"/>
        <v>MG</v>
      </c>
      <c r="I106" s="77">
        <f t="shared" si="8"/>
        <v>2026</v>
      </c>
      <c r="J106" s="76">
        <f t="shared" ca="1" si="9"/>
        <v>2027</v>
      </c>
      <c r="K106" s="76" t="str">
        <f t="shared" si="1"/>
        <v>IPCA</v>
      </c>
      <c r="L106" s="75">
        <f t="shared" si="10"/>
        <v>0.47</v>
      </c>
    </row>
    <row r="107" spans="1:13" s="73" customFormat="1" ht="24">
      <c r="A107" s="22"/>
      <c r="B107" s="74" t="str">
        <f t="shared" ref="B107:C107" si="18">D19</f>
        <v>24L1567363</v>
      </c>
      <c r="C107" s="76" t="str">
        <f t="shared" si="18"/>
        <v>DUE</v>
      </c>
      <c r="D107" s="75">
        <f t="shared" si="3"/>
        <v>0.03</v>
      </c>
      <c r="E107" s="75">
        <f t="shared" si="4"/>
        <v>3.2029482532289863E-2</v>
      </c>
      <c r="F107" s="76" t="str">
        <f t="shared" si="5"/>
        <v>Canal</v>
      </c>
      <c r="G107" s="76" t="str">
        <f t="shared" si="6"/>
        <v>Residencial</v>
      </c>
      <c r="H107" s="76" t="str">
        <f t="shared" si="7"/>
        <v>PE</v>
      </c>
      <c r="I107" s="77">
        <f t="shared" si="8"/>
        <v>2028</v>
      </c>
      <c r="J107" s="76">
        <f t="shared" ca="1" si="9"/>
        <v>2027</v>
      </c>
      <c r="K107" s="76" t="str">
        <f t="shared" si="1"/>
        <v xml:space="preserve">CDI </v>
      </c>
      <c r="L107" s="75">
        <f t="shared" si="10"/>
        <v>0.47</v>
      </c>
    </row>
    <row r="108" spans="1:13" s="73" customFormat="1" ht="24">
      <c r="A108" s="22"/>
      <c r="B108" s="74" t="str">
        <f t="shared" ref="B108:C108" si="19">D20</f>
        <v>23G2304202</v>
      </c>
      <c r="C108" s="76" t="str">
        <f t="shared" si="19"/>
        <v>Caprem</v>
      </c>
      <c r="D108" s="75">
        <f t="shared" si="3"/>
        <v>2.9000000000000001E-2</v>
      </c>
      <c r="E108" s="75">
        <f t="shared" si="4"/>
        <v>3.1587458014796073E-2</v>
      </c>
      <c r="F108" s="76" t="str">
        <f t="shared" si="5"/>
        <v>Travessia</v>
      </c>
      <c r="G108" s="76" t="str">
        <f t="shared" si="6"/>
        <v>Residencial</v>
      </c>
      <c r="H108" s="76" t="str">
        <f t="shared" si="7"/>
        <v>SP</v>
      </c>
      <c r="I108" s="77">
        <f t="shared" si="8"/>
        <v>2027</v>
      </c>
      <c r="J108" s="76">
        <f t="shared" ca="1" si="9"/>
        <v>2028</v>
      </c>
      <c r="K108" s="76" t="str">
        <f t="shared" si="1"/>
        <v>IPCA</v>
      </c>
      <c r="L108" s="75">
        <f t="shared" si="10"/>
        <v>0.71</v>
      </c>
    </row>
    <row r="109" spans="1:13" s="73" customFormat="1" ht="24">
      <c r="A109" s="22"/>
      <c r="B109" s="74" t="str">
        <f t="shared" ref="B109:C109" si="20">D21</f>
        <v>22K1685406</v>
      </c>
      <c r="C109" s="76" t="str">
        <f t="shared" si="20"/>
        <v>Diferencial</v>
      </c>
      <c r="D109" s="75">
        <f t="shared" si="3"/>
        <v>2.8000000000000001E-2</v>
      </c>
      <c r="E109" s="75">
        <f t="shared" si="4"/>
        <v>3.0708475929691104E-2</v>
      </c>
      <c r="F109" s="76" t="str">
        <f t="shared" si="5"/>
        <v>Virgo</v>
      </c>
      <c r="G109" s="76" t="str">
        <f t="shared" si="6"/>
        <v>Energia</v>
      </c>
      <c r="H109" s="76" t="str">
        <f t="shared" si="7"/>
        <v>RJ</v>
      </c>
      <c r="I109" s="77">
        <f t="shared" si="8"/>
        <v>2032</v>
      </c>
      <c r="J109" s="76">
        <f t="shared" ca="1" si="9"/>
        <v>2028</v>
      </c>
      <c r="K109" s="76" t="str">
        <f t="shared" si="1"/>
        <v>IPCA</v>
      </c>
      <c r="L109" s="75">
        <f t="shared" si="10"/>
        <v>0</v>
      </c>
    </row>
    <row r="110" spans="1:13" s="73" customFormat="1" ht="24">
      <c r="A110" s="22"/>
      <c r="B110" s="74" t="str">
        <f t="shared" ref="B110:C110" si="21">D22</f>
        <v>25C3605714</v>
      </c>
      <c r="C110" s="76" t="str">
        <f t="shared" si="21"/>
        <v>Lotus II</v>
      </c>
      <c r="D110" s="75">
        <f t="shared" si="3"/>
        <v>2.4E-2</v>
      </c>
      <c r="E110" s="75">
        <f t="shared" si="4"/>
        <v>2.642438598787689E-2</v>
      </c>
      <c r="F110" s="76" t="str">
        <f t="shared" si="5"/>
        <v>Canal</v>
      </c>
      <c r="G110" s="76" t="str">
        <f t="shared" si="6"/>
        <v>Corporativo</v>
      </c>
      <c r="H110" s="76" t="str">
        <f t="shared" si="7"/>
        <v>DF</v>
      </c>
      <c r="I110" s="77">
        <f t="shared" si="8"/>
        <v>2028</v>
      </c>
      <c r="J110" s="76">
        <f t="shared" ca="1" si="9"/>
        <v>2027</v>
      </c>
      <c r="K110" s="76" t="str">
        <f t="shared" si="1"/>
        <v>Pré</v>
      </c>
      <c r="L110" s="75">
        <f t="shared" si="10"/>
        <v>0.75</v>
      </c>
    </row>
    <row r="111" spans="1:13" s="73" customFormat="1" ht="24">
      <c r="A111" s="22"/>
      <c r="B111" s="74" t="str">
        <f t="shared" ref="B111:C111" si="22">D23</f>
        <v>20G0926014</v>
      </c>
      <c r="C111" s="76" t="str">
        <f t="shared" si="22"/>
        <v>Quero Quero</v>
      </c>
      <c r="D111" s="75">
        <f t="shared" si="3"/>
        <v>2.4E-2</v>
      </c>
      <c r="E111" s="75">
        <f t="shared" si="4"/>
        <v>2.6157874323627678E-2</v>
      </c>
      <c r="F111" s="76" t="str">
        <f t="shared" si="5"/>
        <v>Habitasec</v>
      </c>
      <c r="G111" s="76" t="str">
        <f t="shared" si="6"/>
        <v>Galpões Logísticos</v>
      </c>
      <c r="H111" s="76" t="str">
        <f t="shared" si="7"/>
        <v>RS</v>
      </c>
      <c r="I111" s="77">
        <f t="shared" si="8"/>
        <v>2041</v>
      </c>
      <c r="J111" s="76">
        <f t="shared" ca="1" si="9"/>
        <v>2032</v>
      </c>
      <c r="K111" s="76" t="str">
        <f t="shared" si="1"/>
        <v>IPCA</v>
      </c>
      <c r="L111" s="75">
        <f t="shared" si="10"/>
        <v>0.60499999999999998</v>
      </c>
    </row>
    <row r="112" spans="1:13" s="73" customFormat="1" ht="24">
      <c r="A112" s="22"/>
      <c r="B112" s="74" t="str">
        <f t="shared" ref="B112:C112" si="23">D24</f>
        <v>21B0631104</v>
      </c>
      <c r="C112" s="76" t="str">
        <f t="shared" si="23"/>
        <v>Sotreq</v>
      </c>
      <c r="D112" s="75">
        <f t="shared" si="3"/>
        <v>2.4E-2</v>
      </c>
      <c r="E112" s="75">
        <f t="shared" si="4"/>
        <v>2.5942399612600822E-2</v>
      </c>
      <c r="F112" s="76" t="str">
        <f t="shared" si="5"/>
        <v>Opea</v>
      </c>
      <c r="G112" s="76" t="str">
        <f t="shared" si="6"/>
        <v>Galpões Logísticos</v>
      </c>
      <c r="H112" s="76" t="str">
        <f t="shared" si="7"/>
        <v>PA</v>
      </c>
      <c r="I112" s="77">
        <f t="shared" si="8"/>
        <v>2036</v>
      </c>
      <c r="J112" s="76">
        <f t="shared" ca="1" si="9"/>
        <v>2030</v>
      </c>
      <c r="K112" s="76" t="str">
        <f t="shared" si="1"/>
        <v>IPCA</v>
      </c>
      <c r="L112" s="75">
        <f t="shared" si="10"/>
        <v>0.76986912663199547</v>
      </c>
    </row>
    <row r="113" spans="1:12" s="73" customFormat="1" ht="24">
      <c r="A113" s="22"/>
      <c r="B113" s="74" t="str">
        <f t="shared" ref="B113:C113" si="24">D25</f>
        <v>20K0696607</v>
      </c>
      <c r="C113" s="76" t="str">
        <f t="shared" si="24"/>
        <v>Pague Menos</v>
      </c>
      <c r="D113" s="75">
        <f t="shared" si="3"/>
        <v>2.3E-2</v>
      </c>
      <c r="E113" s="75">
        <f t="shared" si="4"/>
        <v>2.5198841162105703E-2</v>
      </c>
      <c r="F113" s="76" t="str">
        <f t="shared" si="5"/>
        <v>True</v>
      </c>
      <c r="G113" s="76" t="str">
        <f t="shared" si="6"/>
        <v>Varejo</v>
      </c>
      <c r="H113" s="76" t="str">
        <f t="shared" si="7"/>
        <v>-</v>
      </c>
      <c r="I113" s="77">
        <f t="shared" si="8"/>
        <v>2040</v>
      </c>
      <c r="J113" s="76">
        <f t="shared" ca="1" si="9"/>
        <v>2031</v>
      </c>
      <c r="K113" s="76" t="str">
        <f t="shared" si="1"/>
        <v>IPCA</v>
      </c>
      <c r="L113" s="75">
        <f t="shared" si="10"/>
        <v>0.71</v>
      </c>
    </row>
    <row r="114" spans="1:12" s="73" customFormat="1" ht="24">
      <c r="A114" s="22"/>
      <c r="B114" s="74" t="str">
        <f t="shared" ref="B114:C114" si="25">D26</f>
        <v>24L2720216</v>
      </c>
      <c r="C114" s="76" t="str">
        <f t="shared" si="25"/>
        <v>Gt Urbanismo</v>
      </c>
      <c r="D114" s="75">
        <f t="shared" si="3"/>
        <v>2.3E-2</v>
      </c>
      <c r="E114" s="75">
        <f t="shared" si="4"/>
        <v>2.4650872248061513E-2</v>
      </c>
      <c r="F114" s="76" t="str">
        <f t="shared" si="5"/>
        <v>Virgo</v>
      </c>
      <c r="G114" s="76" t="str">
        <f t="shared" si="6"/>
        <v>Loteamento</v>
      </c>
      <c r="H114" s="76" t="str">
        <f t="shared" si="7"/>
        <v>-</v>
      </c>
      <c r="I114" s="77">
        <f t="shared" si="8"/>
        <v>2035</v>
      </c>
      <c r="J114" s="76">
        <f t="shared" ca="1" si="9"/>
        <v>2030</v>
      </c>
      <c r="K114" s="76" t="str">
        <f t="shared" si="1"/>
        <v>IPCA</v>
      </c>
      <c r="L114" s="75">
        <f t="shared" si="10"/>
        <v>0.66225165562913912</v>
      </c>
    </row>
    <row r="115" spans="1:12" s="73" customFormat="1" ht="24">
      <c r="A115" s="22"/>
      <c r="B115" s="74" t="str">
        <f t="shared" ref="B115:C115" si="26">D27</f>
        <v>21H0748795</v>
      </c>
      <c r="C115" s="76" t="str">
        <f t="shared" si="26"/>
        <v>CK</v>
      </c>
      <c r="D115" s="75">
        <f t="shared" si="3"/>
        <v>2.3E-2</v>
      </c>
      <c r="E115" s="75">
        <f t="shared" si="4"/>
        <v>2.4550522073521781E-2</v>
      </c>
      <c r="F115" s="76" t="str">
        <f t="shared" si="5"/>
        <v>True</v>
      </c>
      <c r="G115" s="76" t="str">
        <f t="shared" si="6"/>
        <v>Residencial</v>
      </c>
      <c r="H115" s="76" t="str">
        <f t="shared" si="7"/>
        <v>SC</v>
      </c>
      <c r="I115" s="77">
        <f t="shared" si="8"/>
        <v>2026</v>
      </c>
      <c r="J115" s="76">
        <f t="shared" ca="1" si="9"/>
        <v>2026</v>
      </c>
      <c r="K115" s="76" t="str">
        <f t="shared" si="1"/>
        <v xml:space="preserve">CDI </v>
      </c>
      <c r="L115" s="75">
        <f t="shared" si="10"/>
        <v>0.47458892159751703</v>
      </c>
    </row>
    <row r="116" spans="1:12" s="73" customFormat="1" ht="24">
      <c r="A116" s="22"/>
      <c r="B116" s="74" t="str">
        <f t="shared" ref="B116:C116" si="27">D28</f>
        <v>23L1199759</v>
      </c>
      <c r="C116" s="76" t="str">
        <f t="shared" si="27"/>
        <v>Urba</v>
      </c>
      <c r="D116" s="75">
        <f t="shared" si="3"/>
        <v>2.1999999999999999E-2</v>
      </c>
      <c r="E116" s="75">
        <f t="shared" si="4"/>
        <v>2.389118853757205E-2</v>
      </c>
      <c r="F116" s="76" t="str">
        <f t="shared" si="5"/>
        <v>True</v>
      </c>
      <c r="G116" s="76" t="str">
        <f t="shared" si="6"/>
        <v>Loteamento</v>
      </c>
      <c r="H116" s="76" t="str">
        <f t="shared" si="7"/>
        <v>-</v>
      </c>
      <c r="I116" s="77">
        <f t="shared" si="8"/>
        <v>2033</v>
      </c>
      <c r="J116" s="76">
        <f t="shared" ca="1" si="9"/>
        <v>2027</v>
      </c>
      <c r="K116" s="76" t="str">
        <f t="shared" si="1"/>
        <v>IPCA</v>
      </c>
      <c r="L116" s="75">
        <f t="shared" si="10"/>
        <v>0.43103448275862066</v>
      </c>
    </row>
    <row r="117" spans="1:12" s="73" customFormat="1" ht="24">
      <c r="A117" s="22"/>
      <c r="B117" s="74" t="str">
        <f t="shared" ref="B117:C117" si="28">D29</f>
        <v>21H0891311</v>
      </c>
      <c r="C117" s="76" t="str">
        <f t="shared" si="28"/>
        <v>Lote5</v>
      </c>
      <c r="D117" s="75">
        <f t="shared" si="3"/>
        <v>2.1999999999999999E-2</v>
      </c>
      <c r="E117" s="75">
        <f t="shared" si="4"/>
        <v>2.3308973675176006E-2</v>
      </c>
      <c r="F117" s="76" t="str">
        <f t="shared" si="5"/>
        <v>Ore</v>
      </c>
      <c r="G117" s="76" t="str">
        <f t="shared" si="6"/>
        <v>Loteamento</v>
      </c>
      <c r="H117" s="76" t="str">
        <f t="shared" si="7"/>
        <v>SP</v>
      </c>
      <c r="I117" s="77">
        <f t="shared" si="8"/>
        <v>2031</v>
      </c>
      <c r="J117" s="76">
        <f t="shared" ca="1" si="9"/>
        <v>2028</v>
      </c>
      <c r="K117" s="76" t="str">
        <f t="shared" si="1"/>
        <v>IPCA</v>
      </c>
      <c r="L117" s="75">
        <f t="shared" si="10"/>
        <v>0.72013778349874746</v>
      </c>
    </row>
    <row r="118" spans="1:12" s="73" customFormat="1" ht="24">
      <c r="A118" s="22"/>
      <c r="B118" s="74" t="str">
        <f t="shared" ref="B118:C118" si="29">D30</f>
        <v>23C2831601</v>
      </c>
      <c r="C118" s="76" t="str">
        <f t="shared" si="29"/>
        <v>Teriva</v>
      </c>
      <c r="D118" s="75">
        <f t="shared" si="3"/>
        <v>1.9E-2</v>
      </c>
      <c r="E118" s="75">
        <f t="shared" si="4"/>
        <v>2.0847748110581328E-2</v>
      </c>
      <c r="F118" s="76" t="str">
        <f t="shared" si="5"/>
        <v>True</v>
      </c>
      <c r="G118" s="76" t="str">
        <f t="shared" si="6"/>
        <v>Loteamento</v>
      </c>
      <c r="H118" s="76" t="str">
        <f t="shared" si="7"/>
        <v>SP</v>
      </c>
      <c r="I118" s="77">
        <f t="shared" si="8"/>
        <v>2030</v>
      </c>
      <c r="J118" s="76">
        <f t="shared" ca="1" si="9"/>
        <v>2027</v>
      </c>
      <c r="K118" s="76" t="str">
        <f t="shared" si="1"/>
        <v xml:space="preserve">CDI </v>
      </c>
      <c r="L118" s="75">
        <f t="shared" si="10"/>
        <v>0.54207428997788365</v>
      </c>
    </row>
    <row r="119" spans="1:12" s="73" customFormat="1" ht="24">
      <c r="A119" s="22"/>
      <c r="B119" s="74" t="str">
        <f t="shared" ref="B119:C119" si="30">D31</f>
        <v>20K0568000</v>
      </c>
      <c r="C119" s="76" t="str">
        <f t="shared" si="30"/>
        <v>Sinal</v>
      </c>
      <c r="D119" s="75">
        <f t="shared" si="3"/>
        <v>1.7000000000000001E-2</v>
      </c>
      <c r="E119" s="75">
        <f t="shared" si="4"/>
        <v>1.8772222757711086E-2</v>
      </c>
      <c r="F119" s="76" t="str">
        <f t="shared" si="5"/>
        <v>Virgo</v>
      </c>
      <c r="G119" s="76" t="str">
        <f t="shared" si="6"/>
        <v>Corporativo</v>
      </c>
      <c r="H119" s="76" t="str">
        <f t="shared" si="7"/>
        <v>SP</v>
      </c>
      <c r="I119" s="77">
        <f t="shared" si="8"/>
        <v>2032</v>
      </c>
      <c r="J119" s="76">
        <f t="shared" ca="1" si="9"/>
        <v>2029</v>
      </c>
      <c r="K119" s="76" t="str">
        <f t="shared" si="1"/>
        <v>IPCA</v>
      </c>
      <c r="L119" s="75">
        <f t="shared" si="10"/>
        <v>0.55100000000000005</v>
      </c>
    </row>
    <row r="120" spans="1:12" s="73" customFormat="1" ht="24">
      <c r="A120" s="22"/>
      <c r="B120" s="74" t="str">
        <f t="shared" ref="B120:C120" si="31">D32</f>
        <v>21H0001405</v>
      </c>
      <c r="C120" s="76" t="str">
        <f t="shared" si="31"/>
        <v>Casa &amp; Vídeo</v>
      </c>
      <c r="D120" s="75">
        <f t="shared" si="3"/>
        <v>1.6E-2</v>
      </c>
      <c r="E120" s="75">
        <f t="shared" si="4"/>
        <v>1.7324617100480992E-2</v>
      </c>
      <c r="F120" s="76" t="str">
        <f t="shared" si="5"/>
        <v>Virgo</v>
      </c>
      <c r="G120" s="76" t="str">
        <f t="shared" si="6"/>
        <v>Varejo</v>
      </c>
      <c r="H120" s="76" t="str">
        <f t="shared" si="7"/>
        <v>-</v>
      </c>
      <c r="I120" s="77">
        <f t="shared" si="8"/>
        <v>2027</v>
      </c>
      <c r="J120" s="76">
        <f t="shared" ca="1" si="9"/>
        <v>2026</v>
      </c>
      <c r="K120" s="76" t="str">
        <f t="shared" si="1"/>
        <v>IPCA</v>
      </c>
      <c r="L120" s="75">
        <f t="shared" si="10"/>
        <v>0</v>
      </c>
    </row>
    <row r="121" spans="1:12" s="73" customFormat="1" ht="24">
      <c r="A121" s="22"/>
      <c r="B121" s="74" t="str">
        <f t="shared" ref="B121:C121" si="32">D33</f>
        <v>21F0568989</v>
      </c>
      <c r="C121" s="76" t="str">
        <f t="shared" si="32"/>
        <v>Pulverizado Ore</v>
      </c>
      <c r="D121" s="75">
        <f t="shared" si="3"/>
        <v>1.4999999999999999E-2</v>
      </c>
      <c r="E121" s="75">
        <f t="shared" si="4"/>
        <v>1.645983157841736E-2</v>
      </c>
      <c r="F121" s="76" t="str">
        <f t="shared" si="5"/>
        <v>Ore</v>
      </c>
      <c r="G121" s="76" t="str">
        <f t="shared" si="6"/>
        <v>Residencial</v>
      </c>
      <c r="H121" s="76" t="str">
        <f t="shared" si="7"/>
        <v>SP</v>
      </c>
      <c r="I121" s="77">
        <f t="shared" si="8"/>
        <v>2036</v>
      </c>
      <c r="J121" s="76">
        <f t="shared" ca="1" si="9"/>
        <v>2029</v>
      </c>
      <c r="K121" s="76" t="str">
        <f t="shared" si="1"/>
        <v>IPCA</v>
      </c>
      <c r="L121" s="75">
        <f t="shared" si="10"/>
        <v>0.75</v>
      </c>
    </row>
    <row r="122" spans="1:12" s="73" customFormat="1" ht="24">
      <c r="A122" s="22"/>
      <c r="B122" s="74" t="str">
        <f t="shared" ref="B122:C122" si="33">D34</f>
        <v>21L0354209</v>
      </c>
      <c r="C122" s="76" t="str">
        <f t="shared" si="33"/>
        <v>Viracopos</v>
      </c>
      <c r="D122" s="75">
        <f t="shared" si="3"/>
        <v>1.2999999999999999E-2</v>
      </c>
      <c r="E122" s="75">
        <f t="shared" si="4"/>
        <v>1.4058544618137984E-2</v>
      </c>
      <c r="F122" s="76" t="str">
        <f t="shared" si="5"/>
        <v>True</v>
      </c>
      <c r="G122" s="76" t="str">
        <f t="shared" si="6"/>
        <v>Galpões Logísticos</v>
      </c>
      <c r="H122" s="76" t="str">
        <f t="shared" si="7"/>
        <v>SP</v>
      </c>
      <c r="I122" s="77">
        <f t="shared" si="8"/>
        <v>2031</v>
      </c>
      <c r="J122" s="76">
        <f t="shared" ca="1" si="9"/>
        <v>2028</v>
      </c>
      <c r="K122" s="76" t="str">
        <f t="shared" si="1"/>
        <v>IPCA</v>
      </c>
      <c r="L122" s="75">
        <f t="shared" si="10"/>
        <v>0.27</v>
      </c>
    </row>
    <row r="123" spans="1:12" s="73" customFormat="1" ht="24">
      <c r="A123" s="22"/>
      <c r="B123" s="74" t="str">
        <f t="shared" ref="B123:C123" si="34">D35</f>
        <v>21D0402879</v>
      </c>
      <c r="C123" s="76" t="str">
        <f t="shared" si="34"/>
        <v>Pontte</v>
      </c>
      <c r="D123" s="75">
        <f t="shared" si="3"/>
        <v>1.2999999999999999E-2</v>
      </c>
      <c r="E123" s="75">
        <f t="shared" si="4"/>
        <v>1.4024726460688856E-2</v>
      </c>
      <c r="F123" s="76" t="str">
        <f t="shared" si="5"/>
        <v>True</v>
      </c>
      <c r="G123" s="76" t="str">
        <f t="shared" si="6"/>
        <v>Home Equity</v>
      </c>
      <c r="H123" s="76" t="str">
        <f t="shared" si="7"/>
        <v>-</v>
      </c>
      <c r="I123" s="77">
        <f t="shared" si="8"/>
        <v>2036</v>
      </c>
      <c r="J123" s="76">
        <f t="shared" ca="1" si="9"/>
        <v>2029</v>
      </c>
      <c r="K123" s="76" t="str">
        <f t="shared" si="1"/>
        <v>IPCA</v>
      </c>
      <c r="L123" s="75">
        <f t="shared" si="10"/>
        <v>0.52580000000000005</v>
      </c>
    </row>
    <row r="124" spans="1:12" s="73" customFormat="1" ht="24">
      <c r="A124" s="22"/>
      <c r="B124" s="74" t="str">
        <f t="shared" ref="B124:C124" si="35">D36</f>
        <v>21E0665350</v>
      </c>
      <c r="C124" s="76" t="str">
        <f t="shared" si="35"/>
        <v>Solfarma</v>
      </c>
      <c r="D124" s="75">
        <f t="shared" si="3"/>
        <v>1.2E-2</v>
      </c>
      <c r="E124" s="75">
        <f t="shared" si="4"/>
        <v>1.2793209088830608E-2</v>
      </c>
      <c r="F124" s="76" t="str">
        <f t="shared" si="5"/>
        <v>Travessia</v>
      </c>
      <c r="G124" s="76" t="str">
        <f t="shared" si="6"/>
        <v>Galpões Logísticos</v>
      </c>
      <c r="H124" s="76" t="str">
        <f t="shared" si="7"/>
        <v>SP</v>
      </c>
      <c r="I124" s="77">
        <f t="shared" si="8"/>
        <v>2026</v>
      </c>
      <c r="J124" s="76">
        <f t="shared" ca="1" si="9"/>
        <v>2026</v>
      </c>
      <c r="K124" s="76" t="str">
        <f t="shared" si="1"/>
        <v>IPCA</v>
      </c>
      <c r="L124" s="75">
        <f t="shared" si="10"/>
        <v>0.46200000000000002</v>
      </c>
    </row>
    <row r="125" spans="1:12" s="73" customFormat="1" ht="24">
      <c r="A125" s="22"/>
      <c r="B125" s="74" t="str">
        <f t="shared" ref="B125:C125" si="36">D37</f>
        <v>21I0912120</v>
      </c>
      <c r="C125" s="76" t="str">
        <f t="shared" si="36"/>
        <v>Minas Brisa</v>
      </c>
      <c r="D125" s="75">
        <f t="shared" si="3"/>
        <v>1.0999999999999999E-2</v>
      </c>
      <c r="E125" s="75">
        <f t="shared" si="4"/>
        <v>1.2059744290990677E-2</v>
      </c>
      <c r="F125" s="76" t="str">
        <f t="shared" si="5"/>
        <v>Ore</v>
      </c>
      <c r="G125" s="76" t="str">
        <f t="shared" si="6"/>
        <v>Residencial</v>
      </c>
      <c r="H125" s="76" t="str">
        <f t="shared" si="7"/>
        <v>MG</v>
      </c>
      <c r="I125" s="77">
        <f t="shared" si="8"/>
        <v>2028</v>
      </c>
      <c r="J125" s="76">
        <f t="shared" ca="1" si="9"/>
        <v>2026</v>
      </c>
      <c r="K125" s="76" t="str">
        <f t="shared" si="1"/>
        <v xml:space="preserve">CDI </v>
      </c>
      <c r="L125" s="75">
        <f t="shared" si="10"/>
        <v>0.82452062911393531</v>
      </c>
    </row>
    <row r="126" spans="1:12" s="73" customFormat="1" ht="24">
      <c r="A126" s="22"/>
      <c r="B126" s="74" t="str">
        <f t="shared" ref="B126:C126" si="37">D38</f>
        <v>21D0779652</v>
      </c>
      <c r="C126" s="76" t="str">
        <f t="shared" si="37"/>
        <v>Wimo</v>
      </c>
      <c r="D126" s="75">
        <f t="shared" si="3"/>
        <v>0.01</v>
      </c>
      <c r="E126" s="75">
        <f t="shared" si="4"/>
        <v>1.1289697809844474E-2</v>
      </c>
      <c r="F126" s="76" t="str">
        <f t="shared" si="5"/>
        <v>Virgo</v>
      </c>
      <c r="G126" s="76" t="str">
        <f t="shared" si="6"/>
        <v>Home Equity</v>
      </c>
      <c r="H126" s="76" t="str">
        <f t="shared" si="7"/>
        <v>-</v>
      </c>
      <c r="I126" s="77">
        <f t="shared" si="8"/>
        <v>2036</v>
      </c>
      <c r="J126" s="76">
        <f t="shared" ca="1" si="9"/>
        <v>2029</v>
      </c>
      <c r="K126" s="76" t="str">
        <f t="shared" si="1"/>
        <v>IPCA</v>
      </c>
      <c r="L126" s="75">
        <f t="shared" si="10"/>
        <v>0.34</v>
      </c>
    </row>
    <row r="127" spans="1:12" s="73" customFormat="1" ht="24">
      <c r="A127" s="22"/>
      <c r="B127" s="74" t="str">
        <f t="shared" ref="B127:C127" si="38">D39</f>
        <v>23G0006401</v>
      </c>
      <c r="C127" s="76" t="str">
        <f t="shared" si="38"/>
        <v>Habitat</v>
      </c>
      <c r="D127" s="75">
        <f t="shared" si="3"/>
        <v>8.9999999999999993E-3</v>
      </c>
      <c r="E127" s="75">
        <f t="shared" si="4"/>
        <v>9.7358322920898833E-3</v>
      </c>
      <c r="F127" s="76" t="str">
        <f t="shared" si="5"/>
        <v>True</v>
      </c>
      <c r="G127" s="76" t="str">
        <f t="shared" si="6"/>
        <v>Residencial</v>
      </c>
      <c r="H127" s="76" t="str">
        <f t="shared" si="7"/>
        <v>GO</v>
      </c>
      <c r="I127" s="77">
        <f t="shared" si="8"/>
        <v>2033</v>
      </c>
      <c r="J127" s="76">
        <f t="shared" ca="1" si="9"/>
        <v>2031</v>
      </c>
      <c r="K127" s="76" t="str">
        <f t="shared" si="1"/>
        <v>IPCA</v>
      </c>
      <c r="L127" s="75">
        <f t="shared" si="10"/>
        <v>0.42</v>
      </c>
    </row>
    <row r="128" spans="1:12" s="73" customFormat="1" ht="24">
      <c r="A128" s="22"/>
      <c r="B128" s="74" t="str">
        <f t="shared" ref="B128:C128" si="39">D40</f>
        <v>20J0837185</v>
      </c>
      <c r="C128" s="76" t="str">
        <f t="shared" si="39"/>
        <v>Creditas</v>
      </c>
      <c r="D128" s="75">
        <f t="shared" si="3"/>
        <v>8.0000000000000002E-3</v>
      </c>
      <c r="E128" s="75">
        <f t="shared" si="4"/>
        <v>8.216510340346133E-3</v>
      </c>
      <c r="F128" s="76" t="str">
        <f t="shared" si="5"/>
        <v>Vert</v>
      </c>
      <c r="G128" s="76" t="str">
        <f t="shared" si="6"/>
        <v>Home Equity</v>
      </c>
      <c r="H128" s="76" t="str">
        <f t="shared" si="7"/>
        <v>-</v>
      </c>
      <c r="I128" s="77">
        <f t="shared" si="8"/>
        <v>2040</v>
      </c>
      <c r="J128" s="76">
        <f t="shared" ca="1" si="9"/>
        <v>2031</v>
      </c>
      <c r="K128" s="76" t="str">
        <f t="shared" si="1"/>
        <v>IPCA</v>
      </c>
      <c r="L128" s="75">
        <f t="shared" si="10"/>
        <v>0.35580000000000001</v>
      </c>
    </row>
    <row r="129" spans="1:20" s="73" customFormat="1" ht="24">
      <c r="A129" s="22"/>
      <c r="B129" s="74" t="str">
        <f t="shared" ref="B129:B131" si="40">D41</f>
        <v>23D1293668</v>
      </c>
      <c r="C129" s="76" t="str">
        <f t="shared" ref="C129:C131" si="41">E41</f>
        <v>MS Incorporadora</v>
      </c>
      <c r="D129" s="75">
        <f t="shared" ref="D129:D131" si="42">SUMIF($D$10:$D$43,B129,$L$10:$L$43)</f>
        <v>7.0000000000000001E-3</v>
      </c>
      <c r="E129" s="75">
        <f t="shared" ref="E129:E131" si="43">SUMIF($D$10:$D$43,B129,$M$10:$M$43)</f>
        <v>7.1692069121663754E-3</v>
      </c>
      <c r="F129" s="76" t="str">
        <f t="shared" ref="F129:F131" si="44">VLOOKUP($B129,D41:G76,4,FALSE)</f>
        <v>Canal</v>
      </c>
      <c r="G129" s="76" t="str">
        <f t="shared" ref="G129:G131" si="45">VLOOKUP($B129,D41:G76,3,FALSE)</f>
        <v>Residencial</v>
      </c>
      <c r="H129" s="76" t="str">
        <f t="shared" ref="H129:H131" si="46">VLOOKUP($B129,D41:P76,13,FALSE)</f>
        <v>SC</v>
      </c>
      <c r="I129" s="77">
        <f t="shared" ref="I129:I131" si="47">YEAR(VLOOKUP($B129,D41:Q76,14,FALSE))</f>
        <v>2028</v>
      </c>
      <c r="J129" s="76">
        <f t="shared" ref="J129:J131" ca="1" si="48">YEAR(VLOOKUP(B129,$D$10:$N$43,11,FALSE)*365+TODAY())</f>
        <v>2028</v>
      </c>
      <c r="K129" s="76" t="str">
        <f t="shared" ref="K129:K131" si="49">LEFT(H41,4)</f>
        <v>IPCA</v>
      </c>
      <c r="L129" s="75">
        <f t="shared" ref="L129:L131" si="50">SUMIF($D$10:$D$43,B129,$O$10:$O$43)</f>
        <v>0.42</v>
      </c>
    </row>
    <row r="130" spans="1:20" s="73" customFormat="1" ht="24">
      <c r="A130" s="22"/>
      <c r="B130" s="74" t="str">
        <f t="shared" si="40"/>
        <v>23B0493519</v>
      </c>
      <c r="C130" s="76" t="str">
        <f t="shared" si="41"/>
        <v>ForGreen</v>
      </c>
      <c r="D130" s="75">
        <f t="shared" si="42"/>
        <v>5.0000000000000001E-3</v>
      </c>
      <c r="E130" s="75">
        <f t="shared" si="43"/>
        <v>5.1178107058140387E-3</v>
      </c>
      <c r="F130" s="76" t="str">
        <f t="shared" si="44"/>
        <v>Canal</v>
      </c>
      <c r="G130" s="76" t="str">
        <f t="shared" si="45"/>
        <v>Energia</v>
      </c>
      <c r="H130" s="76" t="str">
        <f t="shared" si="46"/>
        <v>MG</v>
      </c>
      <c r="I130" s="77">
        <f t="shared" si="47"/>
        <v>2033</v>
      </c>
      <c r="J130" s="76">
        <f t="shared" ca="1" si="48"/>
        <v>2028</v>
      </c>
      <c r="K130" s="76" t="str">
        <f t="shared" si="49"/>
        <v>IPCA</v>
      </c>
      <c r="L130" s="75">
        <f t="shared" si="50"/>
        <v>0</v>
      </c>
    </row>
    <row r="131" spans="1:20" s="73" customFormat="1" ht="24">
      <c r="A131" s="22"/>
      <c r="B131" s="74" t="str">
        <f t="shared" si="40"/>
        <v>21L0355069</v>
      </c>
      <c r="C131" s="76" t="str">
        <f t="shared" si="41"/>
        <v>Viracopos</v>
      </c>
      <c r="D131" s="75">
        <f t="shared" si="42"/>
        <v>4.0000000000000001E-3</v>
      </c>
      <c r="E131" s="75">
        <f t="shared" si="43"/>
        <v>4.6542775776955104E-3</v>
      </c>
      <c r="F131" s="76" t="str">
        <f t="shared" si="44"/>
        <v>True</v>
      </c>
      <c r="G131" s="76" t="str">
        <f t="shared" si="45"/>
        <v>Galpões Logísticos</v>
      </c>
      <c r="H131" s="76" t="str">
        <f t="shared" si="46"/>
        <v>SP</v>
      </c>
      <c r="I131" s="77">
        <f t="shared" si="47"/>
        <v>2031</v>
      </c>
      <c r="J131" s="76">
        <f t="shared" ca="1" si="48"/>
        <v>2028</v>
      </c>
      <c r="K131" s="76" t="str">
        <f t="shared" si="49"/>
        <v>IPCA</v>
      </c>
      <c r="L131" s="75">
        <f t="shared" si="50"/>
        <v>0.27</v>
      </c>
    </row>
    <row r="132" spans="1:20" s="22" customFormat="1"/>
    <row r="133" spans="1:20" s="22" customFormat="1"/>
    <row r="134" spans="1:20" s="22" customFormat="1" ht="34.5">
      <c r="B134" s="78" t="s">
        <v>53</v>
      </c>
      <c r="C134" s="78" t="s">
        <v>52</v>
      </c>
      <c r="D134" s="78" t="s">
        <v>51</v>
      </c>
      <c r="H134" s="78" t="s">
        <v>50</v>
      </c>
      <c r="K134" s="78" t="s">
        <v>49</v>
      </c>
      <c r="N134" s="78" t="s">
        <v>48</v>
      </c>
      <c r="Q134" s="78" t="s">
        <v>47</v>
      </c>
      <c r="R134" s="78"/>
      <c r="S134" s="78"/>
    </row>
    <row r="135" spans="1:20" s="22" customFormat="1" ht="17.25">
      <c r="B135" s="78">
        <v>2025</v>
      </c>
      <c r="C135" s="79">
        <f t="shared" ref="C135:C142" si="51">COUNTIF($I$98:$I$131,B135)/34</f>
        <v>0</v>
      </c>
      <c r="D135" s="79">
        <f t="shared" ref="D135:D143" ca="1" si="52">COUNTIF($J$98:$J$131,B135)/32</f>
        <v>0</v>
      </c>
      <c r="F135" s="22" t="e" vm="1">
        <v>#VALUE!</v>
      </c>
      <c r="G135" s="76" t="s">
        <v>46</v>
      </c>
      <c r="H135" s="79">
        <f>SUMIFS($E$98:$E$131,$H$98:$H$131,G135)</f>
        <v>0.23682088503181667</v>
      </c>
      <c r="J135" s="76" t="s">
        <v>45</v>
      </c>
      <c r="K135" s="79">
        <f>SUMIFS($E$98:$E$131,$K$98:$K$131,$J135)</f>
        <v>0.88408811700473955</v>
      </c>
      <c r="M135" s="76" t="s">
        <v>44</v>
      </c>
      <c r="N135" s="79">
        <f t="shared" ref="N135:N142" si="53">SUMIFS($E$98:$E$131,$G$98:$G$131,M135)</f>
        <v>0.25316872782171262</v>
      </c>
      <c r="P135" s="76" t="s">
        <v>43</v>
      </c>
      <c r="Q135" s="80">
        <f>SUMIFS($E$98:$E$131,$L$98:$L$131,"&gt;="&amp;S135,$L$98:$L$131,"&lt;="&amp;T135)</f>
        <v>0.17090019313915253</v>
      </c>
      <c r="R135" s="80"/>
      <c r="S135" s="80">
        <v>0</v>
      </c>
      <c r="T135" s="22">
        <v>0.25</v>
      </c>
    </row>
    <row r="136" spans="1:20" s="22" customFormat="1" ht="17.25">
      <c r="B136" s="77">
        <v>2026</v>
      </c>
      <c r="C136" s="79">
        <f t="shared" si="51"/>
        <v>8.8235294117647065E-2</v>
      </c>
      <c r="D136" s="79">
        <f t="shared" ca="1" si="52"/>
        <v>0.125</v>
      </c>
      <c r="E136" s="76" t="s">
        <v>42</v>
      </c>
      <c r="F136" s="22" t="s">
        <v>41</v>
      </c>
      <c r="G136" s="76" t="s">
        <v>41</v>
      </c>
      <c r="H136" s="79">
        <f>SUMIFS($E$98:$E$131,$H$98:$H$131,E136)</f>
        <v>0.12459645365909974</v>
      </c>
      <c r="I136" s="76"/>
      <c r="J136" s="76" t="s">
        <v>40</v>
      </c>
      <c r="K136" s="79">
        <f>SUMIFS($E$98:$E$131,$K$98:$K$131,$J136)</f>
        <v>8.9487497007383635E-2</v>
      </c>
      <c r="L136" s="76"/>
      <c r="M136" s="76" t="s">
        <v>33</v>
      </c>
      <c r="N136" s="79">
        <f t="shared" si="53"/>
        <v>0.17490931546287874</v>
      </c>
      <c r="O136" s="76"/>
      <c r="P136" s="76" t="s">
        <v>38</v>
      </c>
      <c r="Q136" s="80">
        <f>SUMIFS($E$98:$E$131,$L$98:$L$131,"&gt;="&amp;S136,$L$98:$L$131,"&lt;="&amp;T136)</f>
        <v>0.48844092564786429</v>
      </c>
      <c r="R136" s="80"/>
      <c r="S136" s="80">
        <v>0.25001000000000001</v>
      </c>
      <c r="T136" s="22">
        <v>0.5</v>
      </c>
    </row>
    <row r="137" spans="1:20" s="22" customFormat="1" ht="17.25">
      <c r="B137" s="77">
        <v>2027</v>
      </c>
      <c r="C137" s="79">
        <f t="shared" si="51"/>
        <v>5.8823529411764705E-2</v>
      </c>
      <c r="D137" s="79">
        <f t="shared" ca="1" si="52"/>
        <v>0.15625</v>
      </c>
      <c r="E137" s="76"/>
      <c r="F137" s="22" t="e" vm="2">
        <v>#VALUE!</v>
      </c>
      <c r="G137" s="76" t="s">
        <v>37</v>
      </c>
      <c r="H137" s="79">
        <f t="shared" ref="H137:H145" si="54">SUMIFS($E$98:$E$131,$H$98:$H$131,G137)</f>
        <v>0.22583023425993942</v>
      </c>
      <c r="I137" s="76"/>
      <c r="J137" s="76" t="s">
        <v>217</v>
      </c>
      <c r="K137" s="79">
        <f>SUMIFS($E$98:$E$131,$K$98:$K$131,$J137)</f>
        <v>2.642438598787689E-2</v>
      </c>
      <c r="L137" s="76"/>
      <c r="M137" s="76" t="s">
        <v>39</v>
      </c>
      <c r="N137" s="79">
        <f t="shared" si="53"/>
        <v>0.20627635051271995</v>
      </c>
      <c r="O137" s="76"/>
      <c r="P137" s="76" t="s">
        <v>35</v>
      </c>
      <c r="Q137" s="80">
        <f>SUMIFS($E$98:$E$131,$L$98:$L$131,"&gt;="&amp;S137,$L$98:$L$131,"&lt;="&amp;T137)</f>
        <v>0.3026567373093918</v>
      </c>
      <c r="R137" s="80"/>
      <c r="S137" s="80">
        <v>0.50000999999999995</v>
      </c>
      <c r="T137" s="22">
        <v>0.75</v>
      </c>
    </row>
    <row r="138" spans="1:20" s="22" customFormat="1" ht="17.25">
      <c r="B138" s="77">
        <v>2028</v>
      </c>
      <c r="C138" s="79">
        <f t="shared" si="51"/>
        <v>0.11764705882352941</v>
      </c>
      <c r="D138" s="79">
        <f t="shared" ca="1" si="52"/>
        <v>0.40625</v>
      </c>
      <c r="E138" s="76"/>
      <c r="F138" s="22" t="e" vm="3">
        <v>#VALUE!</v>
      </c>
      <c r="G138" s="76" t="s">
        <v>34</v>
      </c>
      <c r="H138" s="79">
        <f t="shared" si="54"/>
        <v>8.7901927601412952E-2</v>
      </c>
      <c r="I138" s="76"/>
      <c r="J138" s="76"/>
      <c r="K138" s="76"/>
      <c r="L138" s="76"/>
      <c r="M138" s="76" t="s">
        <v>36</v>
      </c>
      <c r="N138" s="79">
        <f t="shared" si="53"/>
        <v>0.15357557603867153</v>
      </c>
      <c r="O138" s="76"/>
      <c r="P138" s="76" t="s">
        <v>32</v>
      </c>
      <c r="Q138" s="80">
        <f>SUMIFS($E$98:$E$131,$L$98:$L$131,"&gt;="&amp;S138,$L$98:$L$131,"&lt;="&amp;T138)</f>
        <v>3.8002143903591495E-2</v>
      </c>
      <c r="R138" s="80"/>
      <c r="S138" s="80">
        <v>0.75000100000000003</v>
      </c>
      <c r="T138" s="22">
        <v>1</v>
      </c>
    </row>
    <row r="139" spans="1:20" s="22" customFormat="1" ht="17.25">
      <c r="B139" s="77">
        <v>2029</v>
      </c>
      <c r="C139" s="79">
        <f t="shared" si="51"/>
        <v>0</v>
      </c>
      <c r="D139" s="79">
        <f t="shared" ca="1" si="52"/>
        <v>0.15625</v>
      </c>
      <c r="E139" s="76"/>
      <c r="F139" s="22" t="e" vm="4">
        <v>#VALUE!</v>
      </c>
      <c r="G139" s="76" t="s">
        <v>31</v>
      </c>
      <c r="H139" s="79">
        <f t="shared" si="54"/>
        <v>3.1719728985688159E-2</v>
      </c>
      <c r="I139" s="76"/>
      <c r="J139" s="76"/>
      <c r="K139" s="76"/>
      <c r="L139" s="76"/>
      <c r="M139" s="76" t="s">
        <v>30</v>
      </c>
      <c r="N139" s="79">
        <f t="shared" si="53"/>
        <v>9.2698782571390886E-2</v>
      </c>
      <c r="O139" s="76"/>
      <c r="P139" s="76"/>
      <c r="Q139" s="76"/>
      <c r="R139" s="76"/>
      <c r="S139" s="76"/>
    </row>
    <row r="140" spans="1:20" s="22" customFormat="1" ht="17.25">
      <c r="B140" s="77">
        <v>2030</v>
      </c>
      <c r="C140" s="79">
        <f t="shared" si="51"/>
        <v>2.9411764705882353E-2</v>
      </c>
      <c r="D140" s="79">
        <f t="shared" ca="1" si="52"/>
        <v>6.25E-2</v>
      </c>
      <c r="E140" s="76"/>
      <c r="F140" s="22" t="e" vm="5">
        <v>#VALUE!</v>
      </c>
      <c r="G140" s="76" t="s">
        <v>29</v>
      </c>
      <c r="H140" s="79">
        <f t="shared" si="54"/>
        <v>0.1093380324456858</v>
      </c>
      <c r="I140" s="76"/>
      <c r="J140" s="76"/>
      <c r="K140" s="76"/>
      <c r="L140" s="76"/>
      <c r="M140" s="76" t="s">
        <v>27</v>
      </c>
      <c r="N140" s="79">
        <f t="shared" si="53"/>
        <v>4.3316854719160219E-2</v>
      </c>
      <c r="O140" s="76"/>
      <c r="P140" s="76"/>
      <c r="Q140" s="76"/>
      <c r="R140" s="76"/>
      <c r="S140" s="76"/>
    </row>
    <row r="141" spans="1:20" s="22" customFormat="1" ht="17.25">
      <c r="B141" s="77">
        <v>2031</v>
      </c>
      <c r="C141" s="79">
        <f t="shared" si="51"/>
        <v>0.14705882352941177</v>
      </c>
      <c r="D141" s="79">
        <f t="shared" ca="1" si="52"/>
        <v>0.125</v>
      </c>
      <c r="E141" s="76"/>
      <c r="F141" s="22" t="e" vm="6">
        <v>#VALUE!</v>
      </c>
      <c r="G141" s="76" t="s">
        <v>28</v>
      </c>
      <c r="H141" s="79">
        <f t="shared" si="54"/>
        <v>6.8954505618147921E-2</v>
      </c>
      <c r="I141" s="76"/>
      <c r="J141" s="76"/>
      <c r="K141" s="76"/>
      <c r="L141" s="76"/>
      <c r="M141" s="76" t="s">
        <v>25</v>
      </c>
      <c r="N141" s="79">
        <f t="shared" si="53"/>
        <v>3.3530934610879463E-2</v>
      </c>
      <c r="O141" s="76"/>
      <c r="P141" s="76"/>
      <c r="Q141" s="76"/>
      <c r="R141" s="76"/>
      <c r="S141" s="76"/>
    </row>
    <row r="142" spans="1:20" s="22" customFormat="1" ht="17.25">
      <c r="B142" s="77">
        <v>2032</v>
      </c>
      <c r="C142" s="79">
        <f t="shared" si="51"/>
        <v>8.8235294117647065E-2</v>
      </c>
      <c r="D142" s="79">
        <f t="shared" ca="1" si="52"/>
        <v>3.125E-2</v>
      </c>
      <c r="E142" s="76"/>
      <c r="F142" s="22" t="e" vm="7">
        <v>#VALUE!</v>
      </c>
      <c r="G142" s="76" t="s">
        <v>26</v>
      </c>
      <c r="H142" s="79">
        <f t="shared" si="54"/>
        <v>3.0708475929691104E-2</v>
      </c>
      <c r="I142" s="76"/>
      <c r="J142" s="76"/>
      <c r="K142" s="76"/>
      <c r="L142" s="76"/>
      <c r="M142" s="76" t="s">
        <v>21</v>
      </c>
      <c r="N142" s="79">
        <f t="shared" si="53"/>
        <v>4.2523458262586696E-2</v>
      </c>
      <c r="O142" s="76"/>
      <c r="P142" s="76"/>
      <c r="Q142" s="76"/>
      <c r="R142" s="76"/>
      <c r="S142" s="76"/>
    </row>
    <row r="143" spans="1:20" s="22" customFormat="1" ht="17.25">
      <c r="B143" s="77" t="s">
        <v>24</v>
      </c>
      <c r="C143" s="79">
        <f>COUNTIF($I$98:$I$131,"&gt;"&amp;B142)/34</f>
        <v>0.47058823529411764</v>
      </c>
      <c r="D143" s="79">
        <f t="shared" ca="1" si="52"/>
        <v>0</v>
      </c>
      <c r="E143" s="76"/>
      <c r="F143" s="22" t="e" vm="8">
        <v>#VALUE!</v>
      </c>
      <c r="G143" s="76" t="s">
        <v>23</v>
      </c>
      <c r="H143" s="79">
        <f t="shared" si="54"/>
        <v>2.6157874323627678E-2</v>
      </c>
      <c r="I143" s="76"/>
      <c r="J143" s="76"/>
      <c r="K143" s="76"/>
      <c r="L143" s="76"/>
      <c r="M143" s="76"/>
      <c r="N143" s="79"/>
      <c r="O143" s="76"/>
      <c r="P143" s="76"/>
      <c r="Q143" s="76"/>
      <c r="R143" s="76"/>
      <c r="S143" s="76"/>
    </row>
    <row r="144" spans="1:20" s="22" customFormat="1" ht="17.25">
      <c r="B144" s="76"/>
      <c r="C144" s="76"/>
      <c r="D144" s="76"/>
      <c r="E144" s="76"/>
      <c r="F144" s="22" t="e" vm="9">
        <v>#VALUE!</v>
      </c>
      <c r="G144" s="76" t="s">
        <v>22</v>
      </c>
      <c r="H144" s="79">
        <f t="shared" si="54"/>
        <v>2.5942399612600822E-2</v>
      </c>
      <c r="I144" s="76"/>
      <c r="J144" s="76"/>
      <c r="K144" s="76"/>
      <c r="L144" s="76"/>
      <c r="O144" s="76"/>
      <c r="P144" s="76"/>
      <c r="Q144" s="76"/>
      <c r="R144" s="76"/>
      <c r="S144" s="76"/>
    </row>
    <row r="145" spans="2:19" s="22" customFormat="1" ht="17.25">
      <c r="B145" s="76"/>
      <c r="C145" s="76"/>
      <c r="D145" s="76"/>
      <c r="E145" s="76"/>
      <c r="F145" s="22" t="e" vm="10">
        <v>#VALUE!</v>
      </c>
      <c r="G145" s="76" t="s">
        <v>20</v>
      </c>
      <c r="H145" s="79">
        <f t="shared" si="54"/>
        <v>3.2029482532289863E-2</v>
      </c>
      <c r="I145" s="76"/>
      <c r="J145" s="76"/>
      <c r="K145" s="76"/>
      <c r="L145" s="76"/>
      <c r="O145" s="76"/>
      <c r="P145" s="76"/>
      <c r="Q145" s="76"/>
      <c r="R145" s="76"/>
      <c r="S145" s="76"/>
    </row>
    <row r="146" spans="2:19" s="22" customFormat="1" ht="16.5">
      <c r="B146" s="76"/>
      <c r="C146" s="76"/>
      <c r="D146" s="76"/>
      <c r="H146" s="76"/>
      <c r="I146" s="76"/>
      <c r="J146" s="76"/>
      <c r="K146" s="76"/>
      <c r="O146" s="76"/>
      <c r="P146" s="76"/>
    </row>
    <row r="147" spans="2:19" s="22" customFormat="1" ht="16.5">
      <c r="B147" s="76"/>
      <c r="C147" s="76"/>
      <c r="D147" s="76"/>
      <c r="E147" s="76"/>
      <c r="G147" s="76"/>
      <c r="H147" s="76"/>
      <c r="I147" s="76"/>
      <c r="J147" s="76"/>
      <c r="K147" s="76"/>
      <c r="M147" s="76"/>
      <c r="N147" s="76"/>
      <c r="O147" s="76"/>
      <c r="P147" s="76"/>
    </row>
    <row r="148" spans="2:19" s="50" customFormat="1" ht="16.5">
      <c r="B148" s="51"/>
      <c r="C148" s="51"/>
      <c r="D148" s="51"/>
      <c r="E148" s="51"/>
      <c r="G148" s="51"/>
      <c r="H148" s="51"/>
      <c r="I148" s="51"/>
      <c r="J148" s="51"/>
      <c r="K148" s="51"/>
      <c r="M148" s="51"/>
      <c r="N148" s="51"/>
      <c r="O148" s="51"/>
      <c r="P148" s="51"/>
    </row>
    <row r="149" spans="2:19" s="50" customFormat="1" ht="16.5">
      <c r="B149" s="51"/>
      <c r="C149" s="51"/>
      <c r="D149" s="51"/>
      <c r="E149" s="51"/>
      <c r="G149" s="51"/>
      <c r="H149" s="51"/>
      <c r="I149" s="51"/>
      <c r="J149" s="51"/>
      <c r="K149" s="51"/>
      <c r="M149" s="51"/>
      <c r="N149" s="51"/>
      <c r="O149" s="51"/>
      <c r="P149" s="51"/>
    </row>
    <row r="150" spans="2:19" s="50" customFormat="1" ht="16.5">
      <c r="B150" s="51"/>
      <c r="C150" s="51"/>
      <c r="D150" s="51"/>
      <c r="E150" s="51"/>
      <c r="G150" s="51"/>
      <c r="H150" s="51"/>
      <c r="I150" s="51"/>
      <c r="J150" s="51"/>
      <c r="K150" s="51"/>
      <c r="M150" s="51"/>
      <c r="N150" s="51"/>
      <c r="O150" s="51"/>
      <c r="P150" s="51"/>
    </row>
    <row r="151" spans="2:19" s="50" customFormat="1" ht="16.5">
      <c r="B151" s="51"/>
      <c r="C151" s="51"/>
      <c r="D151" s="51"/>
      <c r="E151" s="51"/>
      <c r="G151" s="51"/>
      <c r="H151" s="51"/>
      <c r="I151" s="51"/>
      <c r="J151" s="51"/>
      <c r="K151" s="51"/>
      <c r="M151" s="51"/>
      <c r="N151" s="51"/>
      <c r="O151" s="51"/>
      <c r="P151" s="51"/>
    </row>
    <row r="152" spans="2:19" s="50" customFormat="1" ht="16.5">
      <c r="B152" s="51"/>
      <c r="C152" s="51"/>
      <c r="D152" s="51"/>
      <c r="E152" s="51"/>
      <c r="G152" s="51"/>
      <c r="H152" s="51"/>
      <c r="I152" s="51"/>
      <c r="J152" s="51"/>
      <c r="K152" s="51"/>
      <c r="M152" s="51"/>
      <c r="N152" s="51"/>
      <c r="O152" s="51"/>
      <c r="P152" s="51"/>
    </row>
    <row r="153" spans="2:19" s="50" customFormat="1" ht="16.5">
      <c r="B153" s="51"/>
      <c r="C153" s="51"/>
      <c r="D153" s="51"/>
      <c r="E153" s="51"/>
      <c r="G153" s="51"/>
      <c r="H153" s="51"/>
      <c r="I153" s="51"/>
      <c r="J153" s="51"/>
      <c r="K153" s="51"/>
      <c r="M153" s="51"/>
      <c r="N153" s="51"/>
      <c r="O153" s="51"/>
      <c r="P153" s="51"/>
    </row>
    <row r="154" spans="2:19" s="50" customFormat="1" ht="16.5">
      <c r="B154" s="51"/>
      <c r="C154" s="51"/>
      <c r="D154" s="51"/>
      <c r="E154" s="51"/>
      <c r="G154" s="51"/>
      <c r="H154" s="51"/>
      <c r="I154" s="51"/>
      <c r="J154" s="51"/>
      <c r="K154" s="51"/>
      <c r="M154" s="51"/>
      <c r="N154" s="51"/>
      <c r="O154" s="51"/>
      <c r="P154" s="51"/>
    </row>
    <row r="155" spans="2:19" s="47" customFormat="1" ht="16.5">
      <c r="B155" s="48"/>
      <c r="C155" s="51"/>
      <c r="D155" s="51"/>
      <c r="E155" s="51"/>
      <c r="F155" s="50"/>
      <c r="G155" s="51"/>
      <c r="H155" s="51"/>
      <c r="I155" s="51"/>
      <c r="J155" s="51"/>
      <c r="K155" s="51"/>
      <c r="L155" s="50"/>
      <c r="M155" s="51"/>
      <c r="N155" s="51"/>
      <c r="O155" s="51"/>
      <c r="P155" s="51"/>
      <c r="Q155" s="50"/>
      <c r="R155" s="50"/>
    </row>
    <row r="156" spans="2:19" s="47" customFormat="1" ht="16.5">
      <c r="B156" s="48"/>
      <c r="C156" s="51"/>
      <c r="D156" s="51"/>
      <c r="E156" s="51"/>
      <c r="F156" s="50"/>
      <c r="G156" s="51"/>
      <c r="H156" s="51"/>
      <c r="I156" s="51"/>
      <c r="J156" s="51"/>
      <c r="K156" s="51"/>
      <c r="L156" s="50"/>
      <c r="M156" s="51"/>
      <c r="N156" s="51"/>
      <c r="O156" s="51"/>
      <c r="P156" s="51"/>
      <c r="Q156" s="50"/>
      <c r="R156" s="50"/>
    </row>
    <row r="157" spans="2:19" s="47" customFormat="1" ht="15" customHeight="1">
      <c r="C157" s="50"/>
      <c r="D157" s="50"/>
      <c r="E157" s="50"/>
      <c r="F157" s="50"/>
      <c r="G157" s="50"/>
      <c r="H157" s="50"/>
      <c r="I157" s="50"/>
      <c r="J157" s="50"/>
      <c r="K157" s="50"/>
      <c r="L157" s="50"/>
      <c r="M157" s="50"/>
      <c r="N157" s="50"/>
      <c r="O157" s="50"/>
      <c r="P157" s="50"/>
      <c r="Q157" s="50"/>
      <c r="R157" s="50"/>
    </row>
    <row r="158" spans="2:19" s="47" customFormat="1">
      <c r="C158" s="50"/>
      <c r="D158" s="50"/>
      <c r="E158" s="50"/>
      <c r="F158" s="50"/>
      <c r="G158" s="50"/>
      <c r="H158" s="50"/>
      <c r="I158" s="50"/>
      <c r="J158" s="50"/>
      <c r="K158" s="50"/>
      <c r="L158" s="50"/>
      <c r="M158" s="50"/>
      <c r="N158" s="50"/>
      <c r="O158" s="50"/>
      <c r="P158" s="50"/>
      <c r="Q158" s="50"/>
      <c r="R158" s="50"/>
    </row>
    <row r="159" spans="2:19" s="47" customFormat="1">
      <c r="C159" s="50"/>
      <c r="D159" s="50"/>
      <c r="E159" s="50"/>
      <c r="F159" s="50"/>
      <c r="G159" s="50"/>
      <c r="H159" s="50"/>
      <c r="I159" s="50"/>
      <c r="J159" s="50"/>
      <c r="K159" s="50"/>
      <c r="L159" s="50"/>
      <c r="M159" s="50"/>
      <c r="N159" s="50"/>
      <c r="O159" s="50"/>
      <c r="P159" s="50"/>
      <c r="Q159" s="50"/>
      <c r="R159" s="50"/>
    </row>
    <row r="160" spans="2:19" s="47" customFormat="1">
      <c r="C160" s="50"/>
      <c r="D160" s="50"/>
      <c r="E160" s="50"/>
      <c r="F160" s="50"/>
      <c r="G160" s="50"/>
      <c r="H160" s="50"/>
      <c r="I160" s="50"/>
      <c r="J160" s="50"/>
      <c r="K160" s="50"/>
      <c r="L160" s="50"/>
      <c r="M160" s="50"/>
      <c r="N160" s="50"/>
      <c r="O160" s="50"/>
      <c r="P160" s="50"/>
      <c r="Q160" s="50"/>
      <c r="R160" s="50"/>
    </row>
  </sheetData>
  <sortState xmlns:xlrd2="http://schemas.microsoft.com/office/spreadsheetml/2017/richdata2" ref="C10:S41">
    <sortCondition descending="1" ref="L10:L41"/>
  </sortState>
  <pageMargins left="0.7" right="0.7" top="0.75" bottom="0.75" header="0.3" footer="0.3"/>
  <pageSetup paperSize="9" orientation="portrait" r:id="rId1"/>
  <ignoredErrors>
    <ignoredError sqref="H13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1A5C3-D729-4347-ADE7-3A625F5538B2}">
  <dimension ref="A1:W103"/>
  <sheetViews>
    <sheetView showGridLines="0" zoomScale="90" zoomScaleNormal="90" workbookViewId="0">
      <selection activeCell="U12" sqref="U12"/>
    </sheetView>
  </sheetViews>
  <sheetFormatPr defaultColWidth="10.7109375" defaultRowHeight="17.45" customHeight="1"/>
  <cols>
    <col min="1" max="1" width="1.7109375" style="4" customWidth="1"/>
    <col min="2" max="4" width="10.7109375" style="4"/>
    <col min="5" max="5" width="13.5703125" style="4" customWidth="1"/>
    <col min="6" max="7" width="0.85546875" style="12" customWidth="1"/>
    <col min="8" max="19" width="16.42578125" style="4" bestFit="1" customWidth="1"/>
    <col min="20" max="20" width="1.28515625" style="12" customWidth="1"/>
    <col min="21" max="21" width="15.7109375" style="4" customWidth="1"/>
    <col min="22" max="22" width="10.7109375" style="4"/>
    <col min="23" max="23" width="12.140625" style="4" hidden="1" customWidth="1"/>
    <col min="24" max="24" width="13.7109375" style="4" bestFit="1" customWidth="1"/>
    <col min="25" max="16384" width="10.7109375" style="4"/>
  </cols>
  <sheetData>
    <row r="1" spans="1:23" s="1" customFormat="1" ht="15.75">
      <c r="A1" s="4"/>
      <c r="B1" s="10"/>
    </row>
    <row r="2" spans="1:23" s="1" customFormat="1" ht="15.75">
      <c r="A2" s="4"/>
      <c r="B2" s="10"/>
      <c r="H2" s="46"/>
    </row>
    <row r="3" spans="1:23" s="1" customFormat="1" ht="15.75">
      <c r="A3" s="4"/>
      <c r="B3" s="10"/>
      <c r="H3" s="46"/>
    </row>
    <row r="4" spans="1:23" s="1" customFormat="1" ht="15.75">
      <c r="A4" s="4"/>
      <c r="B4" s="10"/>
    </row>
    <row r="5" spans="1:23" s="1" customFormat="1" ht="20.25">
      <c r="A5" s="4"/>
      <c r="B5" s="11" t="s">
        <v>19</v>
      </c>
    </row>
    <row r="6" spans="1:23" s="1" customFormat="1" ht="15.75">
      <c r="A6" s="4"/>
      <c r="B6" s="10"/>
      <c r="H6" s="43"/>
      <c r="I6" s="43"/>
      <c r="J6" s="43"/>
      <c r="K6" s="43"/>
      <c r="L6" s="43"/>
      <c r="M6" s="43"/>
    </row>
    <row r="7" spans="1:23" s="1" customFormat="1" ht="18">
      <c r="A7" s="4"/>
      <c r="B7" s="7" t="s">
        <v>162</v>
      </c>
      <c r="H7" s="45"/>
      <c r="I7" s="45"/>
      <c r="J7" s="45"/>
      <c r="K7" s="45"/>
      <c r="L7" s="45"/>
      <c r="M7" s="45"/>
      <c r="N7" s="43"/>
      <c r="O7" s="43"/>
      <c r="P7" s="43"/>
      <c r="Q7" s="43"/>
      <c r="R7" s="43"/>
      <c r="S7" s="43"/>
    </row>
    <row r="8" spans="1:23" s="1" customFormat="1" ht="6.95" customHeight="1">
      <c r="A8" s="4"/>
      <c r="B8" s="7"/>
    </row>
    <row r="9" spans="1:23" ht="24.95" customHeight="1">
      <c r="B9" s="21" t="s">
        <v>212</v>
      </c>
      <c r="C9" s="20"/>
      <c r="D9" s="20"/>
      <c r="E9" s="20"/>
      <c r="F9" s="18"/>
      <c r="G9" s="18"/>
      <c r="H9" s="19">
        <v>45658</v>
      </c>
      <c r="I9" s="19">
        <f>EDATE(H9,1)</f>
        <v>45689</v>
      </c>
      <c r="J9" s="19">
        <f t="shared" ref="J9:S9" si="0">EDATE(I9,1)</f>
        <v>45717</v>
      </c>
      <c r="K9" s="19">
        <f t="shared" si="0"/>
        <v>45748</v>
      </c>
      <c r="L9" s="19">
        <f t="shared" si="0"/>
        <v>45778</v>
      </c>
      <c r="M9" s="19">
        <f t="shared" si="0"/>
        <v>45809</v>
      </c>
      <c r="N9" s="19">
        <f t="shared" si="0"/>
        <v>45839</v>
      </c>
      <c r="O9" s="19">
        <f t="shared" si="0"/>
        <v>45870</v>
      </c>
      <c r="P9" s="19">
        <f t="shared" si="0"/>
        <v>45901</v>
      </c>
      <c r="Q9" s="19">
        <f t="shared" si="0"/>
        <v>45931</v>
      </c>
      <c r="R9" s="19">
        <f t="shared" si="0"/>
        <v>45962</v>
      </c>
      <c r="S9" s="19">
        <f t="shared" si="0"/>
        <v>45992</v>
      </c>
      <c r="T9" s="18"/>
      <c r="U9" s="17">
        <v>2025</v>
      </c>
    </row>
    <row r="10" spans="1:23" ht="3" customHeight="1">
      <c r="B10" s="16"/>
      <c r="C10" s="15"/>
      <c r="D10" s="15"/>
      <c r="E10" s="15"/>
      <c r="H10" s="14"/>
      <c r="I10" s="14"/>
      <c r="J10" s="14"/>
      <c r="K10" s="14"/>
      <c r="L10" s="14"/>
      <c r="M10" s="14"/>
      <c r="N10" s="14"/>
      <c r="O10" s="14"/>
      <c r="P10" s="14"/>
      <c r="Q10" s="14"/>
      <c r="R10" s="14"/>
      <c r="S10" s="14"/>
      <c r="U10" s="14"/>
    </row>
    <row r="11" spans="1:23" ht="3" customHeight="1">
      <c r="B11" s="16"/>
      <c r="C11" s="15"/>
      <c r="D11" s="15"/>
      <c r="E11" s="15"/>
      <c r="H11" s="14"/>
      <c r="I11" s="14"/>
      <c r="J11" s="14"/>
      <c r="K11" s="14"/>
      <c r="L11" s="14"/>
      <c r="M11" s="14"/>
      <c r="N11" s="14"/>
      <c r="O11" s="14"/>
      <c r="P11" s="14"/>
      <c r="Q11" s="14"/>
      <c r="R11" s="14"/>
      <c r="S11" s="14"/>
      <c r="U11" s="14"/>
    </row>
    <row r="12" spans="1:23" ht="17.45" customHeight="1">
      <c r="B12" s="31" t="s">
        <v>152</v>
      </c>
      <c r="C12" s="31"/>
      <c r="D12" s="31"/>
      <c r="E12" s="31"/>
      <c r="H12" s="32">
        <f>SUM(H13:H15)</f>
        <v>1478675.0538315999</v>
      </c>
      <c r="I12" s="32">
        <f>SUM(I13:I15)</f>
        <v>1009456.9423129042</v>
      </c>
      <c r="J12" s="32">
        <f>SUM(J13:J15)</f>
        <v>818944</v>
      </c>
      <c r="K12" s="32">
        <f>SUM(K13:K15)</f>
        <v>1406724.9212311008</v>
      </c>
      <c r="L12" s="32">
        <v>1416840.6005079399</v>
      </c>
      <c r="M12" s="32"/>
      <c r="N12" s="32"/>
      <c r="O12" s="32"/>
      <c r="P12" s="32"/>
      <c r="Q12" s="32"/>
      <c r="R12" s="32"/>
      <c r="S12" s="32"/>
      <c r="U12" s="32">
        <f t="shared" ref="U12:U22" si="1">SUM(H12:S12)</f>
        <v>6130641.5178835457</v>
      </c>
      <c r="W12" s="41">
        <f>SUM(H12:U12)-SUM(H13:U15)</f>
        <v>153450.68000000343</v>
      </c>
    </row>
    <row r="13" spans="1:23" ht="17.45" customHeight="1">
      <c r="B13" s="33" t="s">
        <v>151</v>
      </c>
      <c r="C13" s="33"/>
      <c r="D13" s="33"/>
      <c r="E13" s="33"/>
      <c r="H13" s="34">
        <v>731370.52279074013</v>
      </c>
      <c r="I13" s="34">
        <v>780467.25999999978</v>
      </c>
      <c r="J13" s="34">
        <v>665470</v>
      </c>
      <c r="K13" s="34">
        <v>827886.10634920432</v>
      </c>
      <c r="L13" s="34">
        <v>773057.46</v>
      </c>
      <c r="M13" s="34"/>
      <c r="N13" s="34"/>
      <c r="O13" s="34"/>
      <c r="P13" s="34"/>
      <c r="Q13" s="34"/>
      <c r="R13" s="34"/>
      <c r="S13" s="34"/>
      <c r="U13" s="34">
        <f t="shared" si="1"/>
        <v>3778251.3491399442</v>
      </c>
      <c r="W13" s="41"/>
    </row>
    <row r="14" spans="1:23" ht="17.45" customHeight="1">
      <c r="B14" s="33" t="s">
        <v>150</v>
      </c>
      <c r="C14" s="33"/>
      <c r="D14" s="33"/>
      <c r="E14" s="33"/>
      <c r="H14" s="34">
        <v>329578.0810408598</v>
      </c>
      <c r="I14" s="34">
        <v>228989.68231290445</v>
      </c>
      <c r="J14" s="34">
        <v>153474</v>
      </c>
      <c r="K14" s="34">
        <v>439482.42336189735</v>
      </c>
      <c r="L14" s="34">
        <v>567057.80050794</v>
      </c>
      <c r="M14" s="34"/>
      <c r="N14" s="34"/>
      <c r="O14" s="34"/>
      <c r="P14" s="34"/>
      <c r="Q14" s="34"/>
      <c r="R14" s="34"/>
      <c r="S14" s="34"/>
      <c r="U14" s="34">
        <f t="shared" si="1"/>
        <v>1718581.9872236014</v>
      </c>
      <c r="W14" s="41"/>
    </row>
    <row r="15" spans="1:23" ht="17.45" customHeight="1">
      <c r="B15" s="33" t="s">
        <v>149</v>
      </c>
      <c r="C15" s="33"/>
      <c r="D15" s="33"/>
      <c r="E15" s="33"/>
      <c r="H15" s="34">
        <v>417726.45</v>
      </c>
      <c r="I15" s="34">
        <v>0</v>
      </c>
      <c r="J15" s="34">
        <v>0</v>
      </c>
      <c r="K15" s="34">
        <v>139356.39151999907</v>
      </c>
      <c r="L15" s="34">
        <v>0</v>
      </c>
      <c r="M15" s="34"/>
      <c r="N15" s="34"/>
      <c r="O15" s="34"/>
      <c r="P15" s="34"/>
      <c r="Q15" s="34"/>
      <c r="R15" s="34"/>
      <c r="S15" s="34"/>
      <c r="U15" s="34">
        <f t="shared" si="1"/>
        <v>557082.84151999908</v>
      </c>
      <c r="W15" s="41"/>
    </row>
    <row r="16" spans="1:23" ht="17.45" customHeight="1">
      <c r="B16" s="31" t="s">
        <v>148</v>
      </c>
      <c r="C16" s="31"/>
      <c r="D16" s="31"/>
      <c r="E16" s="31"/>
      <c r="H16" s="32">
        <f>H17+H18</f>
        <v>89607.610000000015</v>
      </c>
      <c r="I16" s="32">
        <f>I17+I18</f>
        <v>102995.35</v>
      </c>
      <c r="J16" s="32">
        <f>J17+J18</f>
        <v>108755</v>
      </c>
      <c r="K16" s="32">
        <f>K17+K18</f>
        <v>73576.89</v>
      </c>
      <c r="L16" s="32">
        <v>76725.34</v>
      </c>
      <c r="M16" s="32"/>
      <c r="N16" s="32"/>
      <c r="O16" s="32"/>
      <c r="P16" s="32"/>
      <c r="Q16" s="32"/>
      <c r="R16" s="32"/>
      <c r="S16" s="32"/>
      <c r="U16" s="32">
        <f t="shared" si="1"/>
        <v>451660.19000000006</v>
      </c>
      <c r="W16" s="41">
        <f>SUM(H16:U16)-SUM(H17:U18)</f>
        <v>0</v>
      </c>
    </row>
    <row r="17" spans="2:23" ht="17.45" customHeight="1">
      <c r="B17" s="33" t="s">
        <v>147</v>
      </c>
      <c r="C17" s="33"/>
      <c r="D17" s="33"/>
      <c r="E17" s="33"/>
      <c r="H17" s="34">
        <v>45000</v>
      </c>
      <c r="I17" s="34">
        <v>45000</v>
      </c>
      <c r="J17" s="34">
        <v>45000</v>
      </c>
      <c r="K17" s="34">
        <v>45000</v>
      </c>
      <c r="L17" s="34">
        <v>45000</v>
      </c>
      <c r="M17" s="34"/>
      <c r="N17" s="34"/>
      <c r="O17" s="34"/>
      <c r="P17" s="34"/>
      <c r="Q17" s="34"/>
      <c r="R17" s="34"/>
      <c r="S17" s="34"/>
      <c r="U17" s="34">
        <f t="shared" si="1"/>
        <v>225000</v>
      </c>
      <c r="W17" s="41"/>
    </row>
    <row r="18" spans="2:23" ht="17.45" customHeight="1">
      <c r="B18" s="33" t="s">
        <v>146</v>
      </c>
      <c r="C18" s="33"/>
      <c r="D18" s="33"/>
      <c r="E18" s="33"/>
      <c r="H18" s="34">
        <v>44607.610000000008</v>
      </c>
      <c r="I18" s="34">
        <v>57995.35</v>
      </c>
      <c r="J18" s="34">
        <v>63755</v>
      </c>
      <c r="K18" s="34">
        <v>28576.89</v>
      </c>
      <c r="L18" s="34">
        <v>31725.34</v>
      </c>
      <c r="M18" s="34"/>
      <c r="N18" s="34"/>
      <c r="O18" s="34"/>
      <c r="P18" s="34"/>
      <c r="Q18" s="34"/>
      <c r="R18" s="34"/>
      <c r="S18" s="34"/>
      <c r="U18" s="34">
        <f t="shared" si="1"/>
        <v>226660.19000000003</v>
      </c>
      <c r="W18" s="41"/>
    </row>
    <row r="19" spans="2:23" ht="17.45" customHeight="1">
      <c r="B19" s="31" t="s">
        <v>145</v>
      </c>
      <c r="C19" s="31"/>
      <c r="D19" s="31"/>
      <c r="E19" s="31"/>
      <c r="H19" s="32">
        <f>H20</f>
        <v>-99624.58</v>
      </c>
      <c r="I19" s="32">
        <f>I20</f>
        <v>-152097.11569999999</v>
      </c>
      <c r="J19" s="32">
        <f>J20</f>
        <v>-112495</v>
      </c>
      <c r="K19" s="32">
        <f>K20</f>
        <v>-117155.07053333</v>
      </c>
      <c r="L19" s="32">
        <v>-126332.57963332999</v>
      </c>
      <c r="M19" s="32"/>
      <c r="N19" s="32"/>
      <c r="O19" s="32"/>
      <c r="P19" s="32"/>
      <c r="Q19" s="32"/>
      <c r="R19" s="32"/>
      <c r="S19" s="32"/>
      <c r="U19" s="32">
        <f t="shared" si="1"/>
        <v>-607704.34586666001</v>
      </c>
      <c r="W19" s="41">
        <f>SUM(H19:U19)-SUM(H20:U20)</f>
        <v>0</v>
      </c>
    </row>
    <row r="20" spans="2:23" ht="17.45" customHeight="1">
      <c r="B20" s="33" t="s">
        <v>144</v>
      </c>
      <c r="C20" s="33"/>
      <c r="D20" s="33"/>
      <c r="E20" s="33"/>
      <c r="H20" s="34">
        <v>-99624.58</v>
      </c>
      <c r="I20" s="34">
        <v>-152097.11569999999</v>
      </c>
      <c r="J20" s="34">
        <v>-112495</v>
      </c>
      <c r="K20" s="34">
        <v>-117155.07053333</v>
      </c>
      <c r="L20" s="34">
        <v>-126332.57963332999</v>
      </c>
      <c r="M20" s="34"/>
      <c r="N20" s="34"/>
      <c r="O20" s="34"/>
      <c r="P20" s="34"/>
      <c r="Q20" s="34"/>
      <c r="R20" s="34"/>
      <c r="S20" s="34"/>
      <c r="U20" s="34">
        <f t="shared" si="1"/>
        <v>-607704.34586666001</v>
      </c>
      <c r="W20" s="41"/>
    </row>
    <row r="21" spans="2:23" ht="17.45" customHeight="1">
      <c r="B21" s="31" t="s">
        <v>143</v>
      </c>
      <c r="C21" s="31"/>
      <c r="D21" s="31"/>
      <c r="E21" s="31"/>
      <c r="H21" s="32">
        <f>H12+H16+H19</f>
        <v>1468658.0838315999</v>
      </c>
      <c r="I21" s="32">
        <f>I12+I16+I19</f>
        <v>960355.1766129043</v>
      </c>
      <c r="J21" s="32">
        <f>J12+J16+J19</f>
        <v>815204</v>
      </c>
      <c r="K21" s="32">
        <f>K12+K16+K19</f>
        <v>1363146.7406977706</v>
      </c>
      <c r="L21" s="32">
        <v>1290508.0208746099</v>
      </c>
      <c r="M21" s="32"/>
      <c r="N21" s="32"/>
      <c r="O21" s="32"/>
      <c r="P21" s="32"/>
      <c r="Q21" s="32"/>
      <c r="R21" s="32"/>
      <c r="S21" s="32"/>
      <c r="U21" s="32">
        <f t="shared" si="1"/>
        <v>5897872.0220168848</v>
      </c>
      <c r="W21" s="41">
        <f>SUM(H12:U12,H16:U16,H19:U19)-SUM(H21:U21)</f>
        <v>153450.68000000156</v>
      </c>
    </row>
    <row r="22" spans="2:23" ht="17.45" customHeight="1">
      <c r="B22" s="35" t="s">
        <v>142</v>
      </c>
      <c r="C22" s="35"/>
      <c r="D22" s="35"/>
      <c r="E22" s="35"/>
      <c r="H22" s="36">
        <v>1090931.5</v>
      </c>
      <c r="I22" s="36">
        <v>1090931.5</v>
      </c>
      <c r="J22" s="36">
        <v>1090931.5</v>
      </c>
      <c r="K22" s="36">
        <v>1090931.5</v>
      </c>
      <c r="L22" s="36">
        <v>1090931.5</v>
      </c>
      <c r="M22" s="36"/>
      <c r="N22" s="36"/>
      <c r="O22" s="36"/>
      <c r="P22" s="36"/>
      <c r="Q22" s="36"/>
      <c r="R22" s="36"/>
      <c r="S22" s="36"/>
      <c r="U22" s="36">
        <f t="shared" si="1"/>
        <v>5454657.5</v>
      </c>
    </row>
    <row r="23" spans="2:23" ht="17.45" customHeight="1">
      <c r="B23" s="37" t="s">
        <v>141</v>
      </c>
      <c r="C23" s="37"/>
      <c r="D23" s="37"/>
      <c r="E23" s="37"/>
      <c r="H23" s="38">
        <v>0.13462422561192888</v>
      </c>
      <c r="I23" s="38">
        <v>8.8030749557869062E-2</v>
      </c>
      <c r="J23" s="38">
        <v>7.4725473930831787E-2</v>
      </c>
      <c r="K23" s="38">
        <v>0.12495255116364049</v>
      </c>
      <c r="L23" s="38">
        <v>0.11829413862140839</v>
      </c>
      <c r="M23" s="38"/>
      <c r="N23" s="38"/>
      <c r="O23" s="38"/>
      <c r="P23" s="38"/>
      <c r="Q23" s="38"/>
      <c r="R23" s="38"/>
      <c r="S23" s="38"/>
      <c r="U23" s="38">
        <f>AVERAGE(H23:S23)</f>
        <v>0.10812542777713571</v>
      </c>
    </row>
    <row r="24" spans="2:23" ht="17.45" customHeight="1">
      <c r="B24" s="37" t="s">
        <v>140</v>
      </c>
      <c r="C24" s="37"/>
      <c r="D24" s="37"/>
      <c r="E24" s="37"/>
      <c r="H24" s="38">
        <v>0.1</v>
      </c>
      <c r="I24" s="38">
        <v>0.1</v>
      </c>
      <c r="J24" s="38">
        <v>0.1</v>
      </c>
      <c r="K24" s="38">
        <v>0.1</v>
      </c>
      <c r="L24" s="38">
        <v>0.1</v>
      </c>
      <c r="M24" s="38"/>
      <c r="N24" s="38"/>
      <c r="O24" s="38"/>
      <c r="P24" s="38"/>
      <c r="Q24" s="38"/>
      <c r="R24" s="38"/>
      <c r="S24" s="38"/>
      <c r="U24" s="38">
        <f>AVERAGE(H24:S24)</f>
        <v>0.1</v>
      </c>
    </row>
    <row r="25" spans="2:23" ht="17.45" customHeight="1">
      <c r="B25" s="37" t="s">
        <v>139</v>
      </c>
      <c r="C25" s="37"/>
      <c r="D25" s="37"/>
      <c r="E25" s="37"/>
      <c r="H25" s="40">
        <v>9.35</v>
      </c>
      <c r="I25" s="39">
        <v>9.3178646000000001</v>
      </c>
      <c r="J25" s="39">
        <v>9.3393543999999995</v>
      </c>
      <c r="K25" s="39">
        <v>9.5503274999999999</v>
      </c>
      <c r="L25" s="39">
        <v>9.5767015999999998</v>
      </c>
      <c r="M25" s="39"/>
      <c r="N25" s="39"/>
      <c r="O25" s="39"/>
      <c r="P25" s="39"/>
      <c r="Q25" s="39"/>
      <c r="R25" s="39"/>
      <c r="S25" s="39"/>
      <c r="U25" s="39" t="s">
        <v>137</v>
      </c>
    </row>
    <row r="26" spans="2:23" ht="17.45" customHeight="1">
      <c r="B26" s="37" t="s">
        <v>138</v>
      </c>
      <c r="C26" s="37"/>
      <c r="D26" s="37"/>
      <c r="E26" s="37"/>
      <c r="H26" s="39">
        <v>7.43</v>
      </c>
      <c r="I26" s="39">
        <v>7.62</v>
      </c>
      <c r="J26" s="39">
        <v>7.91</v>
      </c>
      <c r="K26" s="39">
        <v>7.81</v>
      </c>
      <c r="L26" s="39">
        <v>7.8</v>
      </c>
      <c r="M26" s="39"/>
      <c r="N26" s="39"/>
      <c r="O26" s="39"/>
      <c r="P26" s="39"/>
      <c r="Q26" s="39"/>
      <c r="R26" s="39"/>
      <c r="S26" s="39"/>
      <c r="U26" s="39" t="s">
        <v>137</v>
      </c>
    </row>
    <row r="27" spans="2:23" ht="17.45" customHeight="1">
      <c r="I27" s="13"/>
      <c r="J27" s="13"/>
      <c r="K27" s="13"/>
      <c r="L27" s="13"/>
      <c r="M27" s="13"/>
      <c r="N27" s="13"/>
      <c r="O27" s="13"/>
      <c r="P27" s="13"/>
      <c r="Q27" s="13"/>
      <c r="R27" s="13"/>
      <c r="S27" s="13"/>
    </row>
    <row r="28" spans="2:23" ht="24.95" customHeight="1">
      <c r="B28" s="21" t="s">
        <v>156</v>
      </c>
      <c r="C28" s="20"/>
      <c r="D28" s="20"/>
      <c r="E28" s="20"/>
      <c r="F28" s="18"/>
      <c r="G28" s="18"/>
      <c r="H28" s="19">
        <v>45292</v>
      </c>
      <c r="I28" s="19">
        <v>45323</v>
      </c>
      <c r="J28" s="19">
        <v>45352</v>
      </c>
      <c r="K28" s="19">
        <v>45383</v>
      </c>
      <c r="L28" s="19">
        <v>45413</v>
      </c>
      <c r="M28" s="19">
        <v>45444</v>
      </c>
      <c r="N28" s="19">
        <v>45474</v>
      </c>
      <c r="O28" s="19">
        <v>45505</v>
      </c>
      <c r="P28" s="19">
        <v>45536</v>
      </c>
      <c r="Q28" s="19">
        <v>45566</v>
      </c>
      <c r="R28" s="19">
        <v>45597</v>
      </c>
      <c r="S28" s="19">
        <v>45627</v>
      </c>
      <c r="T28" s="18"/>
      <c r="U28" s="17">
        <v>2024</v>
      </c>
    </row>
    <row r="29" spans="2:23" ht="3" customHeight="1">
      <c r="B29" s="16"/>
      <c r="C29" s="15"/>
      <c r="D29" s="15"/>
      <c r="E29" s="15"/>
      <c r="H29" s="14"/>
      <c r="I29" s="14"/>
      <c r="J29" s="14"/>
      <c r="K29" s="14"/>
      <c r="L29" s="14"/>
      <c r="M29" s="14"/>
      <c r="N29" s="14"/>
      <c r="O29" s="14"/>
      <c r="P29" s="14"/>
      <c r="Q29" s="14"/>
      <c r="R29" s="14"/>
      <c r="S29" s="14"/>
      <c r="U29" s="14"/>
    </row>
    <row r="30" spans="2:23" ht="3" customHeight="1">
      <c r="B30" s="16"/>
      <c r="C30" s="15"/>
      <c r="D30" s="15"/>
      <c r="E30" s="15"/>
      <c r="H30" s="14"/>
      <c r="I30" s="14"/>
      <c r="J30" s="14"/>
      <c r="K30" s="14"/>
      <c r="L30" s="14"/>
      <c r="M30" s="14"/>
      <c r="N30" s="14"/>
      <c r="O30" s="14"/>
      <c r="P30" s="14"/>
      <c r="Q30" s="14"/>
      <c r="R30" s="14"/>
      <c r="S30" s="14"/>
      <c r="U30" s="14"/>
    </row>
    <row r="31" spans="2:23" ht="17.45" customHeight="1">
      <c r="B31" s="31" t="s">
        <v>152</v>
      </c>
      <c r="C31" s="31"/>
      <c r="D31" s="31"/>
      <c r="E31" s="31"/>
      <c r="H31" s="32">
        <v>750617.23578025191</v>
      </c>
      <c r="I31" s="32">
        <v>906834.51998557802</v>
      </c>
      <c r="J31" s="32">
        <v>1052452.4637925965</v>
      </c>
      <c r="K31" s="32">
        <v>1099041.4006728292</v>
      </c>
      <c r="L31" s="32">
        <v>1115247.1202586349</v>
      </c>
      <c r="M31" s="32">
        <v>1023328.2942167517</v>
      </c>
      <c r="N31" s="32">
        <v>1186108.8999131117</v>
      </c>
      <c r="O31" s="32">
        <v>922162.25903376297</v>
      </c>
      <c r="P31" s="32">
        <v>1132850.1142714941</v>
      </c>
      <c r="Q31" s="32">
        <f>SUM(Q32:Q34)</f>
        <v>1119445.7465332795</v>
      </c>
      <c r="R31" s="32">
        <f>SUM(R32:R34)</f>
        <v>1116114.6142864453</v>
      </c>
      <c r="S31" s="32">
        <f>SUM(S32:S34)</f>
        <v>978406.67085603648</v>
      </c>
      <c r="U31" s="32">
        <f t="shared" ref="U31:U41" si="2">SUM(H31:S31)</f>
        <v>12402609.339600774</v>
      </c>
      <c r="W31" s="41">
        <f>SUM(H31:U31)-SUM(H32:U34)</f>
        <v>0</v>
      </c>
    </row>
    <row r="32" spans="2:23" ht="17.45" customHeight="1">
      <c r="B32" s="33" t="s">
        <v>151</v>
      </c>
      <c r="C32" s="33"/>
      <c r="D32" s="33"/>
      <c r="E32" s="33"/>
      <c r="H32" s="34">
        <v>590981.73431951797</v>
      </c>
      <c r="I32" s="34">
        <v>705409.85056248261</v>
      </c>
      <c r="J32" s="34">
        <v>699818.11789395357</v>
      </c>
      <c r="K32" s="34">
        <v>733238.05549840501</v>
      </c>
      <c r="L32" s="34">
        <v>679391.04436011706</v>
      </c>
      <c r="M32" s="34">
        <v>859443.99955374876</v>
      </c>
      <c r="N32" s="34">
        <v>705672.44649650285</v>
      </c>
      <c r="O32" s="34">
        <v>736869.16532945784</v>
      </c>
      <c r="P32" s="34">
        <v>726889.88288502709</v>
      </c>
      <c r="Q32" s="34">
        <v>698105.50193024555</v>
      </c>
      <c r="R32" s="34">
        <v>717226.64938469045</v>
      </c>
      <c r="S32" s="34">
        <v>703743.06379442627</v>
      </c>
      <c r="U32" s="34">
        <f t="shared" si="2"/>
        <v>8556789.5120085739</v>
      </c>
      <c r="W32" s="41"/>
    </row>
    <row r="33" spans="2:23" ht="17.45" customHeight="1">
      <c r="B33" s="33" t="s">
        <v>150</v>
      </c>
      <c r="C33" s="33"/>
      <c r="D33" s="33"/>
      <c r="E33" s="33"/>
      <c r="H33" s="34">
        <v>159635.501460734</v>
      </c>
      <c r="I33" s="34">
        <v>201424.66942309542</v>
      </c>
      <c r="J33" s="34">
        <v>226064.12589864284</v>
      </c>
      <c r="K33" s="34">
        <v>221297.20517442413</v>
      </c>
      <c r="L33" s="34">
        <v>152759.955898518</v>
      </c>
      <c r="M33" s="34">
        <v>158773.00466300317</v>
      </c>
      <c r="N33" s="34">
        <v>172464.58341660869</v>
      </c>
      <c r="O33" s="34">
        <v>132385.49370430521</v>
      </c>
      <c r="P33" s="34">
        <v>120548.55138646708</v>
      </c>
      <c r="Q33" s="34">
        <v>167265.15460303385</v>
      </c>
      <c r="R33" s="34">
        <v>320563.61490175489</v>
      </c>
      <c r="S33" s="34">
        <v>274663.60706161027</v>
      </c>
      <c r="U33" s="34">
        <f t="shared" si="2"/>
        <v>2307845.4675921975</v>
      </c>
      <c r="W33" s="41"/>
    </row>
    <row r="34" spans="2:23" ht="17.45" customHeight="1">
      <c r="B34" s="33" t="s">
        <v>149</v>
      </c>
      <c r="C34" s="33"/>
      <c r="D34" s="33"/>
      <c r="E34" s="33"/>
      <c r="H34" s="34"/>
      <c r="I34" s="34"/>
      <c r="J34" s="34">
        <v>126570.22</v>
      </c>
      <c r="K34" s="34">
        <v>144506.14000000001</v>
      </c>
      <c r="L34" s="34">
        <v>283096.12</v>
      </c>
      <c r="M34" s="34">
        <v>5111.2899999997999</v>
      </c>
      <c r="N34" s="34">
        <v>307971.87</v>
      </c>
      <c r="O34" s="34">
        <v>52907.6</v>
      </c>
      <c r="P34" s="34">
        <v>285411.68</v>
      </c>
      <c r="Q34" s="34">
        <v>254075.09</v>
      </c>
      <c r="R34" s="34">
        <v>78324.350000000006</v>
      </c>
      <c r="S34" s="34">
        <v>0</v>
      </c>
      <c r="U34" s="34">
        <f t="shared" si="2"/>
        <v>1537974.3599999999</v>
      </c>
      <c r="W34" s="41"/>
    </row>
    <row r="35" spans="2:23" ht="17.45" customHeight="1">
      <c r="B35" s="31" t="s">
        <v>148</v>
      </c>
      <c r="C35" s="31"/>
      <c r="D35" s="31"/>
      <c r="E35" s="31"/>
      <c r="H35" s="32">
        <v>176085.80000000002</v>
      </c>
      <c r="I35" s="32">
        <v>83912.43</v>
      </c>
      <c r="J35" s="32">
        <v>87479.84</v>
      </c>
      <c r="K35" s="32">
        <v>88497.640000000014</v>
      </c>
      <c r="L35" s="32">
        <v>75473.75</v>
      </c>
      <c r="M35" s="32">
        <v>72088.750000000015</v>
      </c>
      <c r="N35" s="32">
        <v>111946.6</v>
      </c>
      <c r="O35" s="32">
        <v>100602.63</v>
      </c>
      <c r="P35" s="32">
        <v>99134.239999999991</v>
      </c>
      <c r="Q35" s="32">
        <f>SUM(Q36:Q37)</f>
        <v>99929.279999999999</v>
      </c>
      <c r="R35" s="32">
        <f>SUM(R36:R37)</f>
        <v>95318.1</v>
      </c>
      <c r="S35" s="32">
        <f>SUM(S36:S37)</f>
        <v>88892.09</v>
      </c>
      <c r="U35" s="32">
        <f t="shared" si="2"/>
        <v>1179361.1500000001</v>
      </c>
      <c r="W35" s="41">
        <f>SUM(H35:U35)-SUM(H36:U37)</f>
        <v>0</v>
      </c>
    </row>
    <row r="36" spans="2:23" ht="17.45" customHeight="1">
      <c r="B36" s="33" t="s">
        <v>147</v>
      </c>
      <c r="C36" s="33"/>
      <c r="D36" s="33"/>
      <c r="E36" s="33"/>
      <c r="H36" s="34">
        <v>52085.26</v>
      </c>
      <c r="I36" s="34">
        <v>40000</v>
      </c>
      <c r="J36" s="34">
        <v>40000</v>
      </c>
      <c r="K36" s="34">
        <v>40000</v>
      </c>
      <c r="L36" s="34">
        <v>50000</v>
      </c>
      <c r="M36" s="34">
        <v>50000</v>
      </c>
      <c r="N36" s="34">
        <v>50000</v>
      </c>
      <c r="O36" s="34">
        <v>50000</v>
      </c>
      <c r="P36" s="34">
        <v>45000</v>
      </c>
      <c r="Q36" s="34">
        <v>40000</v>
      </c>
      <c r="R36" s="34">
        <v>42500</v>
      </c>
      <c r="S36" s="34">
        <v>45000</v>
      </c>
      <c r="U36" s="34">
        <f t="shared" si="2"/>
        <v>544585.26</v>
      </c>
      <c r="W36" s="41"/>
    </row>
    <row r="37" spans="2:23" ht="17.45" customHeight="1">
      <c r="B37" s="33" t="s">
        <v>146</v>
      </c>
      <c r="C37" s="33"/>
      <c r="D37" s="33"/>
      <c r="E37" s="33"/>
      <c r="H37" s="34">
        <v>124000.54000000001</v>
      </c>
      <c r="I37" s="34">
        <v>43912.429999999993</v>
      </c>
      <c r="J37" s="34">
        <v>47479.839999999997</v>
      </c>
      <c r="K37" s="34">
        <v>48497.640000000007</v>
      </c>
      <c r="L37" s="34">
        <v>25473.750000000004</v>
      </c>
      <c r="M37" s="34">
        <v>22088.750000000011</v>
      </c>
      <c r="N37" s="34">
        <v>61946.6</v>
      </c>
      <c r="O37" s="34">
        <v>50602.630000000005</v>
      </c>
      <c r="P37" s="34">
        <v>54134.239999999991</v>
      </c>
      <c r="Q37" s="34">
        <v>59929.280000000006</v>
      </c>
      <c r="R37" s="34">
        <v>52818.100000000006</v>
      </c>
      <c r="S37" s="34">
        <v>43892.09</v>
      </c>
      <c r="U37" s="34">
        <f t="shared" si="2"/>
        <v>634775.8899999999</v>
      </c>
      <c r="W37" s="41"/>
    </row>
    <row r="38" spans="2:23" ht="17.45" customHeight="1">
      <c r="B38" s="31" t="s">
        <v>145</v>
      </c>
      <c r="C38" s="31"/>
      <c r="D38" s="31"/>
      <c r="E38" s="31"/>
      <c r="H38" s="32">
        <v>-109493.70000000001</v>
      </c>
      <c r="I38" s="32">
        <v>-117338.84</v>
      </c>
      <c r="J38" s="32">
        <v>-101050.09999999992</v>
      </c>
      <c r="K38" s="32">
        <v>-115951.64</v>
      </c>
      <c r="L38" s="32">
        <v>-122945.78</v>
      </c>
      <c r="M38" s="32">
        <v>-127910.15000000001</v>
      </c>
      <c r="N38" s="32">
        <v>-115204.24</v>
      </c>
      <c r="O38" s="32">
        <v>-117152.11</v>
      </c>
      <c r="P38" s="32">
        <v>-143260.14000000001</v>
      </c>
      <c r="Q38" s="32">
        <f>Q39</f>
        <v>-115952.68</v>
      </c>
      <c r="R38" s="32">
        <f>R39</f>
        <v>-123748.15</v>
      </c>
      <c r="S38" s="32">
        <f>S39</f>
        <v>-113373.04</v>
      </c>
      <c r="U38" s="32">
        <f t="shared" si="2"/>
        <v>-1423380.5699999998</v>
      </c>
      <c r="W38" s="41">
        <f>SUM(H38:U38)-SUM(H39:U39)</f>
        <v>0</v>
      </c>
    </row>
    <row r="39" spans="2:23" ht="17.45" customHeight="1">
      <c r="B39" s="33" t="s">
        <v>144</v>
      </c>
      <c r="C39" s="33"/>
      <c r="D39" s="33"/>
      <c r="E39" s="33"/>
      <c r="H39" s="34">
        <v>-109493.70000000001</v>
      </c>
      <c r="I39" s="34">
        <v>-117338.84</v>
      </c>
      <c r="J39" s="34">
        <v>-101050.09999999992</v>
      </c>
      <c r="K39" s="34">
        <v>-115951.64</v>
      </c>
      <c r="L39" s="34">
        <v>-122945.78</v>
      </c>
      <c r="M39" s="34">
        <v>-127910.15000000001</v>
      </c>
      <c r="N39" s="34">
        <v>-115204.24</v>
      </c>
      <c r="O39" s="34">
        <v>-117152.11</v>
      </c>
      <c r="P39" s="34">
        <v>-143260.14000000001</v>
      </c>
      <c r="Q39" s="34">
        <v>-115952.68</v>
      </c>
      <c r="R39" s="34">
        <v>-123748.15</v>
      </c>
      <c r="S39" s="34">
        <v>-113373.04</v>
      </c>
      <c r="U39" s="34">
        <f t="shared" si="2"/>
        <v>-1423380.5699999998</v>
      </c>
      <c r="W39" s="41"/>
    </row>
    <row r="40" spans="2:23" ht="17.45" customHeight="1">
      <c r="B40" s="31" t="s">
        <v>143</v>
      </c>
      <c r="C40" s="31"/>
      <c r="D40" s="31"/>
      <c r="E40" s="31"/>
      <c r="H40" s="32">
        <v>817209.335780252</v>
      </c>
      <c r="I40" s="32">
        <v>873408.10998557799</v>
      </c>
      <c r="J40" s="32">
        <v>1038882.2037925967</v>
      </c>
      <c r="K40" s="32">
        <v>1071587.4006728295</v>
      </c>
      <c r="L40" s="32">
        <v>1067775.09025863</v>
      </c>
      <c r="M40" s="32">
        <v>967506.8942167518</v>
      </c>
      <c r="N40" s="32">
        <v>1182851.2599131118</v>
      </c>
      <c r="O40" s="32">
        <v>905612.77903376298</v>
      </c>
      <c r="P40" s="32">
        <v>1088724.2142714942</v>
      </c>
      <c r="Q40" s="32">
        <f>SUM(Q31,Q35,Q38)</f>
        <v>1103422.3465332796</v>
      </c>
      <c r="R40" s="32">
        <f>SUM(R31,R35,R38)</f>
        <v>1087684.5642864455</v>
      </c>
      <c r="S40" s="32">
        <f>SUM(S31,S35,S38)</f>
        <v>953925.72085603653</v>
      </c>
      <c r="U40" s="32">
        <f t="shared" si="2"/>
        <v>12158589.919600772</v>
      </c>
      <c r="W40" s="41">
        <f>SUM(H31:U31,H35:U35,H38:U38)-SUM(H40:U40)</f>
        <v>0</v>
      </c>
    </row>
    <row r="41" spans="2:23" ht="17.45" customHeight="1">
      <c r="B41" s="35" t="s">
        <v>142</v>
      </c>
      <c r="C41" s="35"/>
      <c r="D41" s="35"/>
      <c r="E41" s="35"/>
      <c r="H41" s="36">
        <v>818198.625</v>
      </c>
      <c r="I41" s="36">
        <v>882534.01925635</v>
      </c>
      <c r="J41" s="36">
        <v>1038882.2</v>
      </c>
      <c r="K41" s="36">
        <v>1036384.925</v>
      </c>
      <c r="L41" s="36">
        <v>1036384.925</v>
      </c>
      <c r="M41" s="36">
        <v>1034099.53826761</v>
      </c>
      <c r="N41" s="36">
        <v>1038670.31173239</v>
      </c>
      <c r="O41" s="36">
        <v>1036384.925</v>
      </c>
      <c r="P41" s="36">
        <v>1036384.925</v>
      </c>
      <c r="Q41" s="36">
        <v>1036384.925</v>
      </c>
      <c r="R41" s="36">
        <v>1036384.925</v>
      </c>
      <c r="S41" s="36">
        <v>1036384.925</v>
      </c>
      <c r="U41" s="36">
        <f t="shared" si="2"/>
        <v>12067079.169256352</v>
      </c>
    </row>
    <row r="42" spans="2:23" ht="17.45" customHeight="1">
      <c r="B42" s="37" t="s">
        <v>141</v>
      </c>
      <c r="C42" s="37"/>
      <c r="D42" s="37"/>
      <c r="E42" s="37"/>
      <c r="H42" s="38">
        <v>7.4909317017636035E-2</v>
      </c>
      <c r="I42" s="38">
        <v>8.0060765500453324E-2</v>
      </c>
      <c r="J42" s="38">
        <v>9.5228912520410006E-2</v>
      </c>
      <c r="K42" s="38">
        <v>9.8226827318931523E-2</v>
      </c>
      <c r="L42" s="38">
        <v>9.7877372709343796E-2</v>
      </c>
      <c r="M42" s="38">
        <v>8.8686310205246782E-2</v>
      </c>
      <c r="N42" s="38">
        <v>0.10842580491195934</v>
      </c>
      <c r="O42" s="38">
        <v>8.3012799523504724E-2</v>
      </c>
      <c r="P42" s="38">
        <v>9.9797669631089964E-2</v>
      </c>
      <c r="Q42" s="38">
        <v>0.10114497074594322</v>
      </c>
      <c r="R42" s="38">
        <v>9.9702370340066765E-2</v>
      </c>
      <c r="S42" s="38">
        <v>8.7441394886483392E-2</v>
      </c>
      <c r="U42" s="38">
        <f>AVERAGE(H42:S42)</f>
        <v>9.287620960925573E-2</v>
      </c>
    </row>
    <row r="43" spans="2:23" ht="17.45" customHeight="1">
      <c r="B43" s="37" t="s">
        <v>140</v>
      </c>
      <c r="C43" s="37"/>
      <c r="D43" s="37"/>
      <c r="E43" s="37"/>
      <c r="H43" s="38">
        <v>7.4999999999999997E-2</v>
      </c>
      <c r="I43" s="38">
        <v>8.0897289999999997E-2</v>
      </c>
      <c r="J43" s="38">
        <v>9.5228912172762442E-2</v>
      </c>
      <c r="K43" s="38">
        <v>9.5000000000000001E-2</v>
      </c>
      <c r="L43" s="38">
        <v>9.5000000000000001E-2</v>
      </c>
      <c r="M43" s="38">
        <v>9.4790510519460663E-2</v>
      </c>
      <c r="N43" s="38">
        <v>9.5209489480539339E-2</v>
      </c>
      <c r="O43" s="38">
        <v>9.5000000000000001E-2</v>
      </c>
      <c r="P43" s="38">
        <v>9.5000000000000001E-2</v>
      </c>
      <c r="Q43" s="38">
        <v>9.5000000000000001E-2</v>
      </c>
      <c r="R43" s="38">
        <v>9.5000000000000001E-2</v>
      </c>
      <c r="S43" s="38">
        <v>9.5000000000000001E-2</v>
      </c>
      <c r="U43" s="38">
        <f>AVERAGE(H43:S43)</f>
        <v>9.2177183514396854E-2</v>
      </c>
    </row>
    <row r="44" spans="2:23" ht="17.45" customHeight="1">
      <c r="B44" s="37" t="s">
        <v>139</v>
      </c>
      <c r="C44" s="37"/>
      <c r="D44" s="37"/>
      <c r="E44" s="37"/>
      <c r="H44" s="40">
        <v>10.02</v>
      </c>
      <c r="I44" s="39">
        <v>10.01</v>
      </c>
      <c r="J44" s="39">
        <v>9.98</v>
      </c>
      <c r="K44" s="39">
        <v>9.8073375056087393</v>
      </c>
      <c r="L44" s="39">
        <v>9.8470862726028177</v>
      </c>
      <c r="M44" s="39">
        <v>9.7200000000000006</v>
      </c>
      <c r="N44" s="39">
        <v>9.8809027798720628</v>
      </c>
      <c r="O44" s="39">
        <v>9.77</v>
      </c>
      <c r="P44" s="39">
        <v>9.7307687082094532</v>
      </c>
      <c r="Q44" s="39">
        <v>9.6</v>
      </c>
      <c r="R44" s="39">
        <v>9.5200987156388823</v>
      </c>
      <c r="S44" s="39">
        <v>9.24</v>
      </c>
      <c r="U44" s="39" t="s">
        <v>137</v>
      </c>
    </row>
    <row r="45" spans="2:23" ht="17.45" customHeight="1">
      <c r="B45" s="37" t="s">
        <v>138</v>
      </c>
      <c r="C45" s="37"/>
      <c r="D45" s="37"/>
      <c r="E45" s="37"/>
      <c r="H45" s="39">
        <v>9.5</v>
      </c>
      <c r="I45" s="39">
        <v>9.01</v>
      </c>
      <c r="J45" s="39">
        <v>8.9</v>
      </c>
      <c r="K45" s="39">
        <v>9</v>
      </c>
      <c r="L45" s="39">
        <v>9.06</v>
      </c>
      <c r="M45" s="39">
        <v>8.99</v>
      </c>
      <c r="N45" s="39">
        <v>9.01</v>
      </c>
      <c r="O45" s="39">
        <v>9.02</v>
      </c>
      <c r="P45" s="39">
        <v>9.01</v>
      </c>
      <c r="Q45" s="39">
        <v>8.57</v>
      </c>
      <c r="R45" s="39">
        <v>8.02</v>
      </c>
      <c r="S45" s="39">
        <v>8</v>
      </c>
      <c r="U45" s="39" t="s">
        <v>137</v>
      </c>
    </row>
    <row r="46" spans="2:23" ht="17.45" customHeight="1">
      <c r="I46" s="13"/>
      <c r="J46" s="13"/>
      <c r="K46" s="13"/>
      <c r="L46" s="13"/>
      <c r="M46" s="13"/>
      <c r="N46" s="13"/>
      <c r="O46" s="13"/>
      <c r="P46" s="13"/>
      <c r="Q46" s="13"/>
      <c r="R46" s="13"/>
      <c r="S46" s="13"/>
    </row>
    <row r="47" spans="2:23" ht="24.95" customHeight="1">
      <c r="B47" s="21" t="s">
        <v>155</v>
      </c>
      <c r="C47" s="20"/>
      <c r="D47" s="20"/>
      <c r="E47" s="20"/>
      <c r="F47" s="18"/>
      <c r="G47" s="18"/>
      <c r="H47" s="19">
        <v>44927</v>
      </c>
      <c r="I47" s="19">
        <v>44958</v>
      </c>
      <c r="J47" s="19">
        <v>44986</v>
      </c>
      <c r="K47" s="19">
        <v>45017</v>
      </c>
      <c r="L47" s="19">
        <v>45047</v>
      </c>
      <c r="M47" s="19">
        <v>45078</v>
      </c>
      <c r="N47" s="19">
        <v>45108</v>
      </c>
      <c r="O47" s="19">
        <v>45139</v>
      </c>
      <c r="P47" s="19">
        <v>45170</v>
      </c>
      <c r="Q47" s="19">
        <v>45200</v>
      </c>
      <c r="R47" s="19">
        <v>45231</v>
      </c>
      <c r="S47" s="19">
        <v>45261</v>
      </c>
      <c r="T47" s="18"/>
      <c r="U47" s="17">
        <v>2023</v>
      </c>
    </row>
    <row r="48" spans="2:23" ht="5.0999999999999996" customHeight="1">
      <c r="B48" s="16"/>
      <c r="C48" s="15"/>
      <c r="D48" s="15"/>
      <c r="E48" s="15"/>
      <c r="H48" s="14"/>
      <c r="I48" s="14"/>
      <c r="J48" s="14"/>
      <c r="K48" s="14"/>
      <c r="L48" s="14"/>
      <c r="M48" s="14"/>
      <c r="N48" s="14"/>
      <c r="O48" s="14"/>
      <c r="P48" s="14"/>
      <c r="Q48" s="14"/>
      <c r="R48" s="14"/>
      <c r="S48" s="14"/>
      <c r="U48" s="14"/>
    </row>
    <row r="49" spans="2:23" ht="5.0999999999999996" customHeight="1">
      <c r="B49" s="16"/>
      <c r="C49" s="15"/>
      <c r="D49" s="15"/>
      <c r="E49" s="15"/>
      <c r="H49" s="14"/>
      <c r="I49" s="14"/>
      <c r="J49" s="14"/>
      <c r="K49" s="14"/>
      <c r="L49" s="14"/>
      <c r="M49" s="14"/>
      <c r="N49" s="14"/>
      <c r="O49" s="14"/>
      <c r="P49" s="14"/>
      <c r="Q49" s="14"/>
      <c r="R49" s="14"/>
      <c r="S49" s="14"/>
      <c r="U49" s="14"/>
    </row>
    <row r="50" spans="2:23" ht="17.45" customHeight="1">
      <c r="B50" s="31" t="s">
        <v>152</v>
      </c>
      <c r="C50" s="31"/>
      <c r="D50" s="31"/>
      <c r="E50" s="31"/>
      <c r="H50" s="32">
        <v>484295.07549323159</v>
      </c>
      <c r="I50" s="32">
        <v>751694.09699040488</v>
      </c>
      <c r="J50" s="32">
        <v>465421.63130273699</v>
      </c>
      <c r="K50" s="32">
        <v>536704.57742864289</v>
      </c>
      <c r="L50" s="32">
        <v>588952.82000532374</v>
      </c>
      <c r="M50" s="32">
        <v>546150.28124309494</v>
      </c>
      <c r="N50" s="32">
        <v>719374.95903026545</v>
      </c>
      <c r="O50" s="32">
        <v>617787.32303958945</v>
      </c>
      <c r="P50" s="32">
        <v>670234.97161575384</v>
      </c>
      <c r="Q50" s="32">
        <v>435455.36393753334</v>
      </c>
      <c r="R50" s="32">
        <v>691763.31348405592</v>
      </c>
      <c r="S50" s="32">
        <v>798758.48961622687</v>
      </c>
      <c r="U50" s="32">
        <v>7309624.4431868596</v>
      </c>
      <c r="W50" s="41">
        <f>SUM(H50:U50)-SUM(H51:U53)</f>
        <v>0</v>
      </c>
    </row>
    <row r="51" spans="2:23" ht="17.45" customHeight="1">
      <c r="B51" s="33" t="s">
        <v>151</v>
      </c>
      <c r="C51" s="33"/>
      <c r="D51" s="33"/>
      <c r="E51" s="33"/>
      <c r="H51" s="34">
        <v>373193.59293305443</v>
      </c>
      <c r="I51" s="34">
        <v>363010.84048745502</v>
      </c>
      <c r="J51" s="34">
        <v>328009.08792589785</v>
      </c>
      <c r="K51" s="34">
        <v>379322.613652492</v>
      </c>
      <c r="L51" s="34">
        <v>349353.42623465875</v>
      </c>
      <c r="M51" s="34">
        <v>363369.43119568698</v>
      </c>
      <c r="N51" s="34">
        <v>366693.94334616134</v>
      </c>
      <c r="O51" s="34">
        <v>372553.20590450132</v>
      </c>
      <c r="P51" s="34">
        <v>366222.31731681427</v>
      </c>
      <c r="Q51" s="34">
        <v>351903.19490049168</v>
      </c>
      <c r="R51" s="34">
        <v>399529.79643543303</v>
      </c>
      <c r="S51" s="34">
        <v>615935.20609636034</v>
      </c>
      <c r="U51" s="34">
        <v>4629096.6564290067</v>
      </c>
      <c r="W51" s="41"/>
    </row>
    <row r="52" spans="2:23" ht="17.45" customHeight="1">
      <c r="B52" s="33" t="s">
        <v>150</v>
      </c>
      <c r="C52" s="33"/>
      <c r="D52" s="33"/>
      <c r="E52" s="33"/>
      <c r="H52" s="34">
        <v>111101.48256017714</v>
      </c>
      <c r="I52" s="34">
        <v>388683.25650294987</v>
      </c>
      <c r="J52" s="34">
        <v>137412.54337683914</v>
      </c>
      <c r="K52" s="34">
        <v>160413.50377615099</v>
      </c>
      <c r="L52" s="34">
        <v>239599.39377066499</v>
      </c>
      <c r="M52" s="34">
        <v>182780.85004740799</v>
      </c>
      <c r="N52" s="34">
        <v>352681.01568410406</v>
      </c>
      <c r="O52" s="34">
        <v>245234.1171350881</v>
      </c>
      <c r="P52" s="34">
        <v>72736.814298939586</v>
      </c>
      <c r="Q52" s="34">
        <v>83552.169037041691</v>
      </c>
      <c r="R52" s="34">
        <v>96777.437048622887</v>
      </c>
      <c r="S52" s="34">
        <v>96180.223519866558</v>
      </c>
      <c r="U52" s="34">
        <v>2167152.8067578529</v>
      </c>
      <c r="W52" s="41"/>
    </row>
    <row r="53" spans="2:23" ht="17.45" customHeight="1">
      <c r="B53" s="33" t="s">
        <v>149</v>
      </c>
      <c r="C53" s="33"/>
      <c r="D53" s="33"/>
      <c r="E53" s="33"/>
      <c r="H53" s="34"/>
      <c r="I53" s="34"/>
      <c r="J53" s="34"/>
      <c r="K53" s="34">
        <v>-3031.54000000001</v>
      </c>
      <c r="L53" s="34"/>
      <c r="M53" s="34"/>
      <c r="N53" s="34"/>
      <c r="O53" s="34"/>
      <c r="P53" s="34">
        <v>231275.84</v>
      </c>
      <c r="Q53" s="34"/>
      <c r="R53" s="34">
        <v>195456.08</v>
      </c>
      <c r="S53" s="34">
        <v>86643.059999999896</v>
      </c>
      <c r="U53" s="34">
        <v>513374.97999999986</v>
      </c>
      <c r="W53" s="41"/>
    </row>
    <row r="54" spans="2:23" ht="17.45" customHeight="1">
      <c r="B54" s="31" t="s">
        <v>148</v>
      </c>
      <c r="C54" s="31"/>
      <c r="D54" s="31"/>
      <c r="E54" s="31"/>
      <c r="H54" s="32">
        <v>18411.490000000002</v>
      </c>
      <c r="I54" s="32">
        <v>18605.850000000009</v>
      </c>
      <c r="J54" s="32">
        <v>22158.579999999991</v>
      </c>
      <c r="K54" s="32">
        <v>21049.64</v>
      </c>
      <c r="L54" s="32">
        <v>14896.459999999995</v>
      </c>
      <c r="M54" s="32">
        <v>15757.879999999994</v>
      </c>
      <c r="N54" s="32">
        <v>11400.36</v>
      </c>
      <c r="O54" s="32">
        <v>10806.92</v>
      </c>
      <c r="P54" s="32">
        <v>9693.4599999999991</v>
      </c>
      <c r="Q54" s="32">
        <v>11297.26</v>
      </c>
      <c r="R54" s="32">
        <v>37702.659999999996</v>
      </c>
      <c r="S54" s="32">
        <v>147136.29999999999</v>
      </c>
      <c r="U54" s="32">
        <v>338916.86</v>
      </c>
      <c r="W54" s="41">
        <f>SUM(H54:U54)-SUM(H55:U56)</f>
        <v>0</v>
      </c>
    </row>
    <row r="55" spans="2:23" ht="17.45" customHeight="1">
      <c r="B55" s="33" t="s">
        <v>147</v>
      </c>
      <c r="C55" s="33"/>
      <c r="D55" s="33"/>
      <c r="E55" s="33"/>
      <c r="H55" s="34"/>
      <c r="I55" s="34"/>
      <c r="J55" s="34"/>
      <c r="K55" s="34"/>
      <c r="L55" s="34"/>
      <c r="M55" s="34"/>
      <c r="N55" s="34"/>
      <c r="O55" s="34"/>
      <c r="P55" s="34"/>
      <c r="Q55" s="34">
        <v>161.28</v>
      </c>
      <c r="R55" s="34">
        <v>5122.6199999999953</v>
      </c>
      <c r="S55" s="34">
        <v>20283.899999999994</v>
      </c>
      <c r="U55" s="34">
        <v>25567.799999999988</v>
      </c>
      <c r="W55" s="41"/>
    </row>
    <row r="56" spans="2:23" ht="17.45" customHeight="1">
      <c r="B56" s="33" t="s">
        <v>146</v>
      </c>
      <c r="C56" s="33"/>
      <c r="D56" s="33"/>
      <c r="E56" s="33"/>
      <c r="H56" s="34">
        <v>18411.490000000002</v>
      </c>
      <c r="I56" s="34">
        <v>18605.850000000009</v>
      </c>
      <c r="J56" s="34">
        <v>22158.579999999991</v>
      </c>
      <c r="K56" s="34">
        <v>21049.64</v>
      </c>
      <c r="L56" s="34">
        <v>14896.459999999995</v>
      </c>
      <c r="M56" s="34">
        <v>15757.879999999994</v>
      </c>
      <c r="N56" s="34">
        <v>11400.36</v>
      </c>
      <c r="O56" s="34">
        <v>10806.92</v>
      </c>
      <c r="P56" s="34">
        <v>9693.4599999999991</v>
      </c>
      <c r="Q56" s="34">
        <v>11135.98</v>
      </c>
      <c r="R56" s="34">
        <v>32580.04</v>
      </c>
      <c r="S56" s="34">
        <v>126852.4</v>
      </c>
      <c r="U56" s="34">
        <v>313349.06</v>
      </c>
      <c r="W56" s="41"/>
    </row>
    <row r="57" spans="2:23" ht="17.45" customHeight="1">
      <c r="B57" s="31" t="s">
        <v>145</v>
      </c>
      <c r="C57" s="31"/>
      <c r="D57" s="31"/>
      <c r="E57" s="31"/>
      <c r="H57" s="32">
        <v>-64282.439999999995</v>
      </c>
      <c r="I57" s="32">
        <v>-49295.4</v>
      </c>
      <c r="J57" s="32">
        <v>-48726.62</v>
      </c>
      <c r="K57" s="32">
        <v>-49157.73</v>
      </c>
      <c r="L57" s="32">
        <v>-54788.770000000004</v>
      </c>
      <c r="M57" s="32">
        <v>-62826.320000000007</v>
      </c>
      <c r="N57" s="32">
        <v>-51865.22</v>
      </c>
      <c r="O57" s="32">
        <v>-51312.289999999994</v>
      </c>
      <c r="P57" s="32">
        <v>-50446.68</v>
      </c>
      <c r="Q57" s="32">
        <v>-74140.84</v>
      </c>
      <c r="R57" s="32">
        <v>-56348.959999999999</v>
      </c>
      <c r="S57" s="32">
        <v>-75098.05</v>
      </c>
      <c r="U57" s="32">
        <v>-688289.32</v>
      </c>
      <c r="W57" s="41">
        <f>SUM(H57:U57)-SUM(H58:U58)</f>
        <v>0</v>
      </c>
    </row>
    <row r="58" spans="2:23" ht="17.45" customHeight="1">
      <c r="B58" s="33" t="s">
        <v>144</v>
      </c>
      <c r="C58" s="33"/>
      <c r="D58" s="33"/>
      <c r="E58" s="33"/>
      <c r="H58" s="34">
        <v>-64282.439999999995</v>
      </c>
      <c r="I58" s="34">
        <v>-49295.4</v>
      </c>
      <c r="J58" s="34">
        <v>-48726.62</v>
      </c>
      <c r="K58" s="34">
        <v>-49157.729999999996</v>
      </c>
      <c r="L58" s="34">
        <v>-54788.770000000004</v>
      </c>
      <c r="M58" s="34">
        <v>-62826.320000000007</v>
      </c>
      <c r="N58" s="34">
        <v>-51865.22</v>
      </c>
      <c r="O58" s="34">
        <v>-51312.289999999994</v>
      </c>
      <c r="P58" s="34">
        <v>-50446.68</v>
      </c>
      <c r="Q58" s="34">
        <v>-74140.84</v>
      </c>
      <c r="R58" s="34">
        <v>-56348.959999999999</v>
      </c>
      <c r="S58" s="34">
        <v>-75098.05</v>
      </c>
      <c r="U58" s="34">
        <v>-688289.32</v>
      </c>
      <c r="W58" s="41"/>
    </row>
    <row r="59" spans="2:23" ht="17.45" customHeight="1">
      <c r="B59" s="31" t="s">
        <v>143</v>
      </c>
      <c r="C59" s="31"/>
      <c r="D59" s="31"/>
      <c r="E59" s="31"/>
      <c r="H59" s="32">
        <v>438424.12549323158</v>
      </c>
      <c r="I59" s="32">
        <v>721004.54699040484</v>
      </c>
      <c r="J59" s="32">
        <v>438853.59130273701</v>
      </c>
      <c r="K59" s="32">
        <v>508596.48742864293</v>
      </c>
      <c r="L59" s="32">
        <v>549060.51000532368</v>
      </c>
      <c r="M59" s="32">
        <v>499081.84124309494</v>
      </c>
      <c r="N59" s="32">
        <v>678910.09903026547</v>
      </c>
      <c r="O59" s="32">
        <v>577281.95303958945</v>
      </c>
      <c r="P59" s="32">
        <v>629481.75161575375</v>
      </c>
      <c r="Q59" s="32">
        <v>372611.78393753339</v>
      </c>
      <c r="R59" s="32">
        <v>673117.01348405599</v>
      </c>
      <c r="S59" s="32">
        <v>870796.73961622687</v>
      </c>
      <c r="U59" s="32">
        <v>6960251.9831868596</v>
      </c>
      <c r="W59" s="41">
        <f>SUM(H50:U50,H54:U54,H57:U57)-SUM(H59:U59)</f>
        <v>0</v>
      </c>
    </row>
    <row r="60" spans="2:23" ht="17.45" customHeight="1">
      <c r="B60" s="35" t="s">
        <v>142</v>
      </c>
      <c r="C60" s="35"/>
      <c r="D60" s="35"/>
      <c r="E60" s="35"/>
      <c r="H60" s="36">
        <v>552750</v>
      </c>
      <c r="I60" s="36">
        <v>552749.99999999977</v>
      </c>
      <c r="J60" s="36">
        <v>552750</v>
      </c>
      <c r="K60" s="36">
        <v>552750</v>
      </c>
      <c r="L60" s="36">
        <v>552750</v>
      </c>
      <c r="M60" s="36">
        <v>552750</v>
      </c>
      <c r="N60" s="36">
        <v>552750</v>
      </c>
      <c r="O60" s="36">
        <v>552749.99999999977</v>
      </c>
      <c r="P60" s="36">
        <v>552750</v>
      </c>
      <c r="Q60" s="36">
        <v>552750</v>
      </c>
      <c r="R60" s="36">
        <v>552750</v>
      </c>
      <c r="S60" s="36">
        <v>502500</v>
      </c>
      <c r="U60" s="36">
        <v>6582750</v>
      </c>
    </row>
    <row r="61" spans="2:23" ht="17.45" customHeight="1">
      <c r="B61" s="37" t="s">
        <v>141</v>
      </c>
      <c r="C61" s="37"/>
      <c r="D61" s="37"/>
      <c r="E61" s="37"/>
      <c r="H61" s="38">
        <v>8.7248582187707771E-2</v>
      </c>
      <c r="I61" s="38">
        <v>0.14348349193838902</v>
      </c>
      <c r="J61" s="38">
        <v>8.7334048020445171E-2</v>
      </c>
      <c r="K61" s="39">
        <v>0.10121323132908316</v>
      </c>
      <c r="L61" s="38">
        <v>0.10926577313538779</v>
      </c>
      <c r="M61" s="38">
        <v>9.9319769401610927E-2</v>
      </c>
      <c r="N61" s="38">
        <v>0.13510648736920705</v>
      </c>
      <c r="O61" s="38">
        <v>0.11488198070439591</v>
      </c>
      <c r="P61" s="38">
        <v>0.12527000032154303</v>
      </c>
      <c r="Q61" s="38">
        <v>7.4151598793538984E-2</v>
      </c>
      <c r="R61" s="38">
        <v>0.13395363452419023</v>
      </c>
      <c r="S61" s="38">
        <v>0.17329288350571678</v>
      </c>
      <c r="U61" s="38">
        <v>0.11542706439779205</v>
      </c>
    </row>
    <row r="62" spans="2:23" ht="17.45" customHeight="1">
      <c r="B62" s="37" t="s">
        <v>140</v>
      </c>
      <c r="C62" s="37"/>
      <c r="D62" s="37"/>
      <c r="E62" s="37"/>
      <c r="H62" s="38">
        <v>0.11</v>
      </c>
      <c r="I62" s="38">
        <v>0.10999999999999996</v>
      </c>
      <c r="J62" s="38">
        <v>0.11</v>
      </c>
      <c r="K62" s="38">
        <v>0.11</v>
      </c>
      <c r="L62" s="38">
        <v>0.11</v>
      </c>
      <c r="M62" s="38">
        <v>0.11</v>
      </c>
      <c r="N62" s="38">
        <v>0.11</v>
      </c>
      <c r="O62" s="38">
        <v>0.10999999999999996</v>
      </c>
      <c r="P62" s="38">
        <v>0.11</v>
      </c>
      <c r="Q62" s="38">
        <v>0.11</v>
      </c>
      <c r="R62" s="38">
        <v>0.11</v>
      </c>
      <c r="S62" s="38">
        <v>0.1</v>
      </c>
      <c r="U62" s="38">
        <v>0.10916666666666668</v>
      </c>
    </row>
    <row r="63" spans="2:23" ht="17.45" customHeight="1">
      <c r="B63" s="37" t="s">
        <v>139</v>
      </c>
      <c r="C63" s="37"/>
      <c r="D63" s="37"/>
      <c r="E63" s="37"/>
      <c r="H63" s="40">
        <v>9.65</v>
      </c>
      <c r="I63" s="39">
        <v>9.75</v>
      </c>
      <c r="J63" s="39">
        <v>9.8699999999999992</v>
      </c>
      <c r="K63" s="39">
        <v>9.91</v>
      </c>
      <c r="L63" s="39">
        <v>10.039999999999999</v>
      </c>
      <c r="M63" s="39">
        <v>10.09</v>
      </c>
      <c r="N63" s="39">
        <v>9.91</v>
      </c>
      <c r="O63" s="39">
        <v>9.84</v>
      </c>
      <c r="P63" s="39">
        <v>9.7100000000000009</v>
      </c>
      <c r="Q63" s="39">
        <v>9.73</v>
      </c>
      <c r="R63" s="39">
        <v>9.98</v>
      </c>
      <c r="S63" s="39">
        <v>10.01</v>
      </c>
      <c r="U63" s="39" t="s">
        <v>137</v>
      </c>
    </row>
    <row r="64" spans="2:23" ht="17.45" customHeight="1">
      <c r="B64" s="37" t="s">
        <v>138</v>
      </c>
      <c r="C64" s="37"/>
      <c r="D64" s="37"/>
      <c r="E64" s="37"/>
      <c r="H64" s="39">
        <v>9.4499999999999993</v>
      </c>
      <c r="I64" s="39">
        <v>8.86</v>
      </c>
      <c r="J64" s="39">
        <v>8.5500000000000007</v>
      </c>
      <c r="K64" s="39">
        <v>8.6999999999999993</v>
      </c>
      <c r="L64" s="39">
        <v>8.77</v>
      </c>
      <c r="M64" s="39">
        <v>8.75</v>
      </c>
      <c r="N64" s="39">
        <v>8.76</v>
      </c>
      <c r="O64" s="39">
        <v>9.18</v>
      </c>
      <c r="P64" s="39">
        <v>9.69</v>
      </c>
      <c r="Q64" s="39">
        <v>10.24</v>
      </c>
      <c r="R64" s="39">
        <v>10.17</v>
      </c>
      <c r="S64" s="39">
        <v>9.7200000000000006</v>
      </c>
      <c r="U64" s="39" t="s">
        <v>137</v>
      </c>
    </row>
    <row r="65" spans="2:23" ht="24" customHeight="1">
      <c r="B65" s="16"/>
      <c r="C65" s="15"/>
      <c r="D65" s="15"/>
      <c r="E65" s="15"/>
      <c r="H65" s="14"/>
      <c r="I65" s="14"/>
      <c r="J65" s="14"/>
      <c r="K65" s="14"/>
      <c r="L65" s="14"/>
      <c r="M65" s="14"/>
      <c r="N65" s="14"/>
      <c r="O65" s="14"/>
      <c r="P65" s="14"/>
      <c r="Q65" s="14"/>
      <c r="R65" s="14"/>
      <c r="S65" s="14"/>
      <c r="U65" s="14"/>
    </row>
    <row r="66" spans="2:23" ht="24.75" customHeight="1">
      <c r="B66" s="21" t="s">
        <v>154</v>
      </c>
      <c r="C66" s="20"/>
      <c r="D66" s="20"/>
      <c r="E66" s="20"/>
      <c r="F66" s="18"/>
      <c r="G66" s="18"/>
      <c r="H66" s="19">
        <v>44562</v>
      </c>
      <c r="I66" s="19">
        <v>44593</v>
      </c>
      <c r="J66" s="19">
        <v>44621</v>
      </c>
      <c r="K66" s="19">
        <v>44652</v>
      </c>
      <c r="L66" s="19">
        <v>44682</v>
      </c>
      <c r="M66" s="19">
        <v>44713</v>
      </c>
      <c r="N66" s="19">
        <v>44743</v>
      </c>
      <c r="O66" s="19">
        <v>44774</v>
      </c>
      <c r="P66" s="19">
        <v>44805</v>
      </c>
      <c r="Q66" s="19">
        <v>44835</v>
      </c>
      <c r="R66" s="19">
        <v>44866</v>
      </c>
      <c r="S66" s="19">
        <v>44896</v>
      </c>
      <c r="U66" s="17">
        <v>2022</v>
      </c>
    </row>
    <row r="67" spans="2:23" ht="5.0999999999999996" customHeight="1">
      <c r="B67" s="16"/>
      <c r="C67" s="15"/>
      <c r="D67" s="15"/>
      <c r="E67" s="15"/>
      <c r="H67" s="14"/>
      <c r="I67" s="14"/>
      <c r="J67" s="14"/>
      <c r="K67" s="14"/>
      <c r="L67" s="14"/>
      <c r="M67" s="14"/>
      <c r="N67" s="14"/>
      <c r="O67" s="14"/>
      <c r="P67" s="14"/>
      <c r="Q67" s="14"/>
      <c r="R67" s="14"/>
      <c r="S67" s="14"/>
      <c r="T67" s="14"/>
      <c r="U67" s="14"/>
    </row>
    <row r="68" spans="2:23" ht="4.5" customHeight="1">
      <c r="B68" s="16"/>
      <c r="C68" s="15"/>
      <c r="D68" s="15"/>
      <c r="E68" s="15"/>
      <c r="H68" s="14"/>
      <c r="I68" s="14"/>
      <c r="J68" s="14"/>
      <c r="K68" s="14"/>
      <c r="L68" s="14"/>
      <c r="M68" s="14"/>
      <c r="N68" s="14"/>
      <c r="O68" s="14"/>
      <c r="P68" s="14"/>
      <c r="Q68" s="14"/>
      <c r="R68" s="14"/>
      <c r="S68" s="14"/>
      <c r="T68" s="14"/>
      <c r="U68" s="14"/>
    </row>
    <row r="69" spans="2:23" ht="17.45" customHeight="1">
      <c r="B69" s="31" t="s">
        <v>152</v>
      </c>
      <c r="C69" s="31"/>
      <c r="D69" s="31"/>
      <c r="E69" s="31"/>
      <c r="H69" s="32">
        <v>585285.59733655583</v>
      </c>
      <c r="I69" s="32">
        <v>622601.06000000006</v>
      </c>
      <c r="J69" s="32">
        <v>548836.21198502078</v>
      </c>
      <c r="K69" s="32">
        <v>625082.794352383</v>
      </c>
      <c r="L69" s="32">
        <v>604207.40308225597</v>
      </c>
      <c r="M69" s="32">
        <v>672980.31881585601</v>
      </c>
      <c r="N69" s="32">
        <v>1145857.5130537702</v>
      </c>
      <c r="O69" s="32">
        <v>587545.17067690846</v>
      </c>
      <c r="P69" s="32">
        <v>398399.16036225663</v>
      </c>
      <c r="Q69" s="32">
        <v>438521.99026460596</v>
      </c>
      <c r="R69" s="32">
        <v>435851.57823125378</v>
      </c>
      <c r="S69" s="32">
        <v>456787.33698755637</v>
      </c>
      <c r="U69" s="32">
        <v>7121956.1351484228</v>
      </c>
      <c r="W69" s="41">
        <f>SUM(H69:U69)-SUM(H70:U72)</f>
        <v>0</v>
      </c>
    </row>
    <row r="70" spans="2:23" ht="17.45" customHeight="1">
      <c r="B70" s="33" t="s">
        <v>151</v>
      </c>
      <c r="C70" s="33"/>
      <c r="D70" s="33"/>
      <c r="E70" s="33"/>
      <c r="H70" s="34">
        <v>288804.54733655578</v>
      </c>
      <c r="I70" s="34">
        <v>293355.7</v>
      </c>
      <c r="J70" s="34">
        <v>325164.17146581801</v>
      </c>
      <c r="K70" s="34">
        <v>353008.11357949302</v>
      </c>
      <c r="L70" s="34">
        <v>332585.39854404837</v>
      </c>
      <c r="M70" s="34">
        <v>346080.30814515793</v>
      </c>
      <c r="N70" s="34">
        <v>345740.44721600157</v>
      </c>
      <c r="O70" s="34">
        <v>291111.02285901498</v>
      </c>
      <c r="P70" s="34">
        <v>343622.47974047012</v>
      </c>
      <c r="Q70" s="34">
        <v>333109.70123362698</v>
      </c>
      <c r="R70" s="34">
        <v>326831.32991407375</v>
      </c>
      <c r="S70" s="34">
        <v>342720.44965815952</v>
      </c>
      <c r="U70" s="34">
        <v>3922133.6696924204</v>
      </c>
      <c r="W70" s="41"/>
    </row>
    <row r="71" spans="2:23" ht="17.45" customHeight="1">
      <c r="B71" s="33" t="s">
        <v>150</v>
      </c>
      <c r="C71" s="33"/>
      <c r="D71" s="33"/>
      <c r="E71" s="33"/>
      <c r="H71" s="34">
        <v>296481.05</v>
      </c>
      <c r="I71" s="34">
        <v>329245.36000000004</v>
      </c>
      <c r="J71" s="34">
        <v>223672.04051920274</v>
      </c>
      <c r="K71" s="34">
        <v>272074.68077288999</v>
      </c>
      <c r="L71" s="34">
        <v>271622.00453820755</v>
      </c>
      <c r="M71" s="34">
        <v>326900.01067069813</v>
      </c>
      <c r="N71" s="34">
        <v>800117.0658377686</v>
      </c>
      <c r="O71" s="34">
        <v>296434.14781789348</v>
      </c>
      <c r="P71" s="34">
        <v>54776.680621786487</v>
      </c>
      <c r="Q71" s="34">
        <v>105412.28903097899</v>
      </c>
      <c r="R71" s="34">
        <v>109020.24831718</v>
      </c>
      <c r="S71" s="34">
        <v>114066.88732939684</v>
      </c>
      <c r="U71" s="34">
        <v>3199822.4654560029</v>
      </c>
      <c r="W71" s="41"/>
    </row>
    <row r="72" spans="2:23" ht="17.45" customHeight="1">
      <c r="B72" s="33" t="s">
        <v>149</v>
      </c>
      <c r="C72" s="33"/>
      <c r="D72" s="33"/>
      <c r="E72" s="33"/>
      <c r="H72" s="34"/>
      <c r="I72" s="34"/>
      <c r="J72" s="34"/>
      <c r="K72" s="34"/>
      <c r="L72" s="34"/>
      <c r="M72" s="34"/>
      <c r="N72" s="34"/>
      <c r="O72" s="34"/>
      <c r="P72" s="34"/>
      <c r="Q72" s="34"/>
      <c r="R72" s="34"/>
      <c r="S72" s="34"/>
      <c r="U72" s="34"/>
      <c r="W72" s="41"/>
    </row>
    <row r="73" spans="2:23" ht="17.45" customHeight="1">
      <c r="B73" s="31" t="s">
        <v>148</v>
      </c>
      <c r="C73" s="31"/>
      <c r="D73" s="31"/>
      <c r="E73" s="31"/>
      <c r="H73" s="32">
        <v>18057</v>
      </c>
      <c r="I73" s="32">
        <v>21206.069999999996</v>
      </c>
      <c r="J73" s="32">
        <v>14301.04</v>
      </c>
      <c r="K73" s="32">
        <v>18242.960000000006</v>
      </c>
      <c r="L73" s="32">
        <v>25045.509999999987</v>
      </c>
      <c r="M73" s="32">
        <v>30426.140000000014</v>
      </c>
      <c r="N73" s="32">
        <v>35002.080000000002</v>
      </c>
      <c r="O73" s="32">
        <v>39383.72</v>
      </c>
      <c r="P73" s="32">
        <v>38390.100000000006</v>
      </c>
      <c r="Q73" s="32">
        <v>38478.14</v>
      </c>
      <c r="R73" s="32">
        <v>15866.599999999995</v>
      </c>
      <c r="S73" s="32">
        <v>23135.33</v>
      </c>
      <c r="U73" s="32">
        <v>296926.7</v>
      </c>
      <c r="W73" s="41">
        <f>SUM(H73:U73)-SUM(H74:U75)</f>
        <v>0</v>
      </c>
    </row>
    <row r="74" spans="2:23" ht="17.45" customHeight="1">
      <c r="B74" s="33" t="s">
        <v>147</v>
      </c>
      <c r="C74" s="33"/>
      <c r="D74" s="33"/>
      <c r="E74" s="33"/>
      <c r="H74" s="34"/>
      <c r="I74" s="34"/>
      <c r="J74" s="34"/>
      <c r="K74" s="34">
        <v>4793.58</v>
      </c>
      <c r="L74" s="34">
        <v>6162</v>
      </c>
      <c r="M74" s="34">
        <v>6418.7500000000018</v>
      </c>
      <c r="N74" s="34">
        <v>6213.35</v>
      </c>
      <c r="O74" s="34">
        <v>5648.5</v>
      </c>
      <c r="P74" s="34">
        <v>5648.5</v>
      </c>
      <c r="Q74" s="34">
        <v>5135</v>
      </c>
      <c r="R74" s="34">
        <v>-19411.689999999999</v>
      </c>
      <c r="S74" s="34"/>
      <c r="U74" s="34"/>
      <c r="W74" s="41"/>
    </row>
    <row r="75" spans="2:23" ht="17.45" customHeight="1">
      <c r="B75" s="33" t="s">
        <v>146</v>
      </c>
      <c r="C75" s="33"/>
      <c r="D75" s="33"/>
      <c r="E75" s="33"/>
      <c r="H75" s="34">
        <v>18057</v>
      </c>
      <c r="I75" s="34">
        <v>21206.069999999996</v>
      </c>
      <c r="J75" s="34">
        <v>14301.04</v>
      </c>
      <c r="K75" s="34">
        <v>13449.380000000005</v>
      </c>
      <c r="L75" s="34">
        <v>18883.509999999987</v>
      </c>
      <c r="M75" s="34">
        <v>24007.390000000014</v>
      </c>
      <c r="N75" s="34">
        <v>28788.730000000003</v>
      </c>
      <c r="O75" s="34">
        <v>33735.22</v>
      </c>
      <c r="P75" s="34">
        <v>32741.600000000006</v>
      </c>
      <c r="Q75" s="34">
        <v>33343.14</v>
      </c>
      <c r="R75" s="34">
        <v>35278.289999999994</v>
      </c>
      <c r="S75" s="34">
        <v>23135.33</v>
      </c>
      <c r="U75" s="34">
        <v>296926.7</v>
      </c>
      <c r="W75" s="41"/>
    </row>
    <row r="76" spans="2:23" ht="17.45" customHeight="1">
      <c r="B76" s="31" t="s">
        <v>145</v>
      </c>
      <c r="C76" s="31"/>
      <c r="D76" s="31"/>
      <c r="E76" s="31"/>
      <c r="H76" s="32">
        <v>-49807</v>
      </c>
      <c r="I76" s="32">
        <v>-49646.03</v>
      </c>
      <c r="J76" s="32">
        <v>-51816.32</v>
      </c>
      <c r="K76" s="32">
        <v>-50651.39</v>
      </c>
      <c r="L76" s="32">
        <v>-55633.04</v>
      </c>
      <c r="M76" s="32">
        <v>-51410.63</v>
      </c>
      <c r="N76" s="32">
        <v>-51486.38</v>
      </c>
      <c r="O76" s="32">
        <v>-50949.38</v>
      </c>
      <c r="P76" s="32">
        <v>-50450.800000000017</v>
      </c>
      <c r="Q76" s="32">
        <v>-63718.630000000005</v>
      </c>
      <c r="R76" s="32">
        <v>-63951.199999999997</v>
      </c>
      <c r="S76" s="32">
        <v>-50347.459999999992</v>
      </c>
      <c r="U76" s="32">
        <v>-644129.21</v>
      </c>
      <c r="W76" s="41">
        <f>SUM(H76:U76)-SUM(H77:U77)</f>
        <v>0</v>
      </c>
    </row>
    <row r="77" spans="2:23" ht="17.45" customHeight="1">
      <c r="B77" s="33" t="s">
        <v>144</v>
      </c>
      <c r="C77" s="33"/>
      <c r="D77" s="33"/>
      <c r="E77" s="33"/>
      <c r="H77" s="34">
        <v>-49807</v>
      </c>
      <c r="I77" s="34">
        <v>-49646.03</v>
      </c>
      <c r="J77" s="34">
        <v>-51816.32</v>
      </c>
      <c r="K77" s="34">
        <v>-50651.389999999992</v>
      </c>
      <c r="L77" s="34">
        <v>-55633.04</v>
      </c>
      <c r="M77" s="34">
        <v>-51410.63</v>
      </c>
      <c r="N77" s="34">
        <v>-51486.38</v>
      </c>
      <c r="O77" s="34">
        <v>-50949.38</v>
      </c>
      <c r="P77" s="34">
        <v>-50450.800000000017</v>
      </c>
      <c r="Q77" s="34">
        <v>-63718.630000000005</v>
      </c>
      <c r="R77" s="34">
        <v>-63951.199999999997</v>
      </c>
      <c r="S77" s="34">
        <v>-50347.459999999992</v>
      </c>
      <c r="U77" s="34">
        <v>-644129.21</v>
      </c>
      <c r="W77" s="41"/>
    </row>
    <row r="78" spans="2:23" ht="17.45" customHeight="1">
      <c r="B78" s="31" t="s">
        <v>143</v>
      </c>
      <c r="C78" s="31"/>
      <c r="D78" s="31"/>
      <c r="E78" s="31"/>
      <c r="H78" s="32">
        <v>553535.59733655583</v>
      </c>
      <c r="I78" s="32">
        <v>594161.1</v>
      </c>
      <c r="J78" s="32">
        <v>511320.93198502081</v>
      </c>
      <c r="K78" s="32">
        <v>592674.36435238295</v>
      </c>
      <c r="L78" s="32">
        <v>573619.87308225594</v>
      </c>
      <c r="M78" s="32">
        <v>651995.82881585602</v>
      </c>
      <c r="N78" s="32">
        <v>1129373.2130537704</v>
      </c>
      <c r="O78" s="32">
        <v>575979.51067690842</v>
      </c>
      <c r="P78" s="32">
        <v>386338.46036225662</v>
      </c>
      <c r="Q78" s="32">
        <v>413281.50026460597</v>
      </c>
      <c r="R78" s="32">
        <v>387766.97823125374</v>
      </c>
      <c r="S78" s="32">
        <v>429575.20698755642</v>
      </c>
      <c r="U78" s="32">
        <v>6774753.625148423</v>
      </c>
      <c r="W78" s="41">
        <f>SUM(H69:U69,H73:U73,H76:U76)-SUM(H78:U78)</f>
        <v>0</v>
      </c>
    </row>
    <row r="79" spans="2:23" ht="17.45" customHeight="1">
      <c r="B79" s="35" t="s">
        <v>142</v>
      </c>
      <c r="C79" s="35"/>
      <c r="D79" s="35"/>
      <c r="E79" s="35"/>
      <c r="H79" s="36">
        <v>527625.22000000032</v>
      </c>
      <c r="I79" s="36">
        <v>529161.10000000009</v>
      </c>
      <c r="J79" s="36">
        <v>552749.99999999965</v>
      </c>
      <c r="K79" s="36">
        <v>552750</v>
      </c>
      <c r="L79" s="36">
        <v>552750</v>
      </c>
      <c r="M79" s="36">
        <v>603000.00000000012</v>
      </c>
      <c r="N79" s="36">
        <v>552750</v>
      </c>
      <c r="O79" s="36">
        <v>552749.99999999988</v>
      </c>
      <c r="P79" s="36">
        <v>552749.99999999988</v>
      </c>
      <c r="Q79" s="36">
        <v>552750</v>
      </c>
      <c r="R79" s="36">
        <v>552750</v>
      </c>
      <c r="S79" s="36">
        <v>552750</v>
      </c>
      <c r="U79" s="36">
        <v>6634536.3199999994</v>
      </c>
    </row>
    <row r="80" spans="2:23" ht="17.45" customHeight="1">
      <c r="B80" s="37" t="s">
        <v>141</v>
      </c>
      <c r="C80" s="37"/>
      <c r="D80" s="37"/>
      <c r="E80" s="37"/>
      <c r="H80" s="38">
        <v>0.11015633777841907</v>
      </c>
      <c r="I80" s="38">
        <v>0.11824101492537313</v>
      </c>
      <c r="J80" s="38">
        <v>0.1017554093502529</v>
      </c>
      <c r="K80" s="44">
        <v>1.1794514713480257</v>
      </c>
      <c r="L80" s="44">
        <v>1.1415320857358326</v>
      </c>
      <c r="M80" s="44">
        <v>1.2975041369469771</v>
      </c>
      <c r="N80" s="38">
        <v>0.22475088816990454</v>
      </c>
      <c r="O80" s="38">
        <v>0.11462278819440963</v>
      </c>
      <c r="P80" s="38">
        <v>7.6883275693981415E-2</v>
      </c>
      <c r="Q80" s="38">
        <v>8.2245074679523578E-2</v>
      </c>
      <c r="R80" s="38">
        <v>7.7167557856965913E-2</v>
      </c>
      <c r="S80" s="38">
        <v>8.5487603380608249E-2</v>
      </c>
      <c r="U80" s="38">
        <v>0.11235080638720436</v>
      </c>
    </row>
    <row r="81" spans="2:23" ht="17.45" customHeight="1">
      <c r="B81" s="37" t="s">
        <v>140</v>
      </c>
      <c r="C81" s="37"/>
      <c r="D81" s="37"/>
      <c r="E81" s="37"/>
      <c r="H81" s="38">
        <v>0.10500004378109459</v>
      </c>
      <c r="I81" s="38">
        <v>0.10530569154228858</v>
      </c>
      <c r="J81" s="38">
        <v>0.10999999999999993</v>
      </c>
      <c r="K81" s="38">
        <v>0.11</v>
      </c>
      <c r="L81" s="38">
        <v>0.11</v>
      </c>
      <c r="M81" s="38">
        <v>0.12000000000000002</v>
      </c>
      <c r="N81" s="38">
        <v>0.11</v>
      </c>
      <c r="O81" s="38">
        <v>0.10999999999999997</v>
      </c>
      <c r="P81" s="38">
        <v>0.10999999999999997</v>
      </c>
      <c r="Q81" s="38">
        <v>0.11</v>
      </c>
      <c r="R81" s="38">
        <v>0.11</v>
      </c>
      <c r="S81" s="38">
        <v>0.11</v>
      </c>
      <c r="U81" s="38">
        <v>0.11002547794361528</v>
      </c>
    </row>
    <row r="82" spans="2:23" ht="17.45" customHeight="1">
      <c r="B82" s="37" t="s">
        <v>139</v>
      </c>
      <c r="C82" s="37"/>
      <c r="D82" s="37"/>
      <c r="E82" s="37"/>
      <c r="H82" s="40">
        <v>10.16</v>
      </c>
      <c r="I82" s="39">
        <v>10.029999999999999</v>
      </c>
      <c r="J82" s="39">
        <v>10.199999999999999</v>
      </c>
      <c r="K82" s="39">
        <v>10.14</v>
      </c>
      <c r="L82" s="39">
        <v>10.19</v>
      </c>
      <c r="M82" s="39">
        <v>10.119999999999999</v>
      </c>
      <c r="N82" s="39">
        <v>9.9</v>
      </c>
      <c r="O82" s="39">
        <v>9.92</v>
      </c>
      <c r="P82" s="39">
        <v>9.92</v>
      </c>
      <c r="Q82" s="39">
        <v>9.9499999999999993</v>
      </c>
      <c r="R82" s="39">
        <v>9.8000000000000007</v>
      </c>
      <c r="S82" s="39">
        <v>9.76</v>
      </c>
      <c r="U82" s="39" t="s">
        <v>137</v>
      </c>
    </row>
    <row r="83" spans="2:23" ht="17.45" customHeight="1">
      <c r="B83" s="37" t="s">
        <v>138</v>
      </c>
      <c r="C83" s="37"/>
      <c r="D83" s="37"/>
      <c r="E83" s="37"/>
      <c r="H83" s="39">
        <v>9.98</v>
      </c>
      <c r="I83" s="39">
        <v>9.98</v>
      </c>
      <c r="J83" s="39">
        <v>9.9584299999999999</v>
      </c>
      <c r="K83" s="39">
        <v>9.8979999999999997</v>
      </c>
      <c r="L83" s="39">
        <v>9.9480000000000004</v>
      </c>
      <c r="M83" s="39">
        <v>9.4499999999999993</v>
      </c>
      <c r="N83" s="39">
        <v>9.4</v>
      </c>
      <c r="O83" s="39">
        <v>9.854000000000001</v>
      </c>
      <c r="P83" s="39">
        <v>9.8000000000000007</v>
      </c>
      <c r="Q83" s="39">
        <v>9.67</v>
      </c>
      <c r="R83" s="39">
        <v>9.1</v>
      </c>
      <c r="S83" s="39">
        <v>9.5500000000000007</v>
      </c>
      <c r="U83" s="39" t="s">
        <v>137</v>
      </c>
    </row>
    <row r="84" spans="2:23" ht="24" customHeight="1">
      <c r="I84" s="13"/>
      <c r="J84" s="13"/>
      <c r="K84" s="13"/>
      <c r="L84" s="13"/>
      <c r="M84" s="13"/>
      <c r="N84" s="13"/>
    </row>
    <row r="85" spans="2:23" ht="24.95" customHeight="1">
      <c r="B85" s="21" t="s">
        <v>153</v>
      </c>
      <c r="C85" s="20"/>
      <c r="D85" s="20"/>
      <c r="E85" s="20"/>
      <c r="F85" s="18"/>
      <c r="G85" s="18"/>
      <c r="H85" s="19">
        <v>44197</v>
      </c>
      <c r="I85" s="19">
        <v>44228</v>
      </c>
      <c r="J85" s="19">
        <v>44256</v>
      </c>
      <c r="K85" s="19">
        <v>44287</v>
      </c>
      <c r="L85" s="19">
        <v>44317</v>
      </c>
      <c r="M85" s="19">
        <v>44348</v>
      </c>
      <c r="N85" s="19">
        <v>44378</v>
      </c>
      <c r="O85" s="19">
        <v>44409</v>
      </c>
      <c r="P85" s="19">
        <v>44440</v>
      </c>
      <c r="Q85" s="19">
        <v>44470</v>
      </c>
      <c r="R85" s="19">
        <v>44501</v>
      </c>
      <c r="S85" s="19">
        <v>44531</v>
      </c>
      <c r="T85" s="18"/>
      <c r="U85" s="17">
        <v>2021</v>
      </c>
    </row>
    <row r="86" spans="2:23" ht="5.0999999999999996" customHeight="1">
      <c r="B86" s="16"/>
      <c r="C86" s="15"/>
      <c r="D86" s="15"/>
      <c r="E86" s="15"/>
      <c r="H86" s="14"/>
      <c r="I86" s="14"/>
      <c r="J86" s="14"/>
      <c r="K86" s="14"/>
      <c r="L86" s="14"/>
      <c r="M86" s="14"/>
      <c r="N86" s="14"/>
      <c r="O86" s="14"/>
      <c r="P86" s="14"/>
      <c r="Q86" s="14"/>
      <c r="R86" s="14"/>
      <c r="S86" s="14"/>
      <c r="U86" s="14"/>
    </row>
    <row r="87" spans="2:23" ht="5.0999999999999996" customHeight="1">
      <c r="B87" s="16"/>
      <c r="C87" s="15"/>
      <c r="D87" s="15"/>
      <c r="E87" s="15"/>
      <c r="H87" s="14"/>
      <c r="I87" s="14"/>
      <c r="J87" s="14"/>
      <c r="K87" s="14"/>
      <c r="L87" s="14"/>
      <c r="M87" s="14"/>
      <c r="N87" s="14"/>
      <c r="O87" s="14"/>
      <c r="P87" s="14"/>
      <c r="Q87" s="14"/>
      <c r="R87" s="14"/>
      <c r="S87" s="14"/>
      <c r="U87" s="14"/>
    </row>
    <row r="88" spans="2:23" ht="17.45" customHeight="1">
      <c r="B88" s="31" t="s">
        <v>152</v>
      </c>
      <c r="C88" s="31"/>
      <c r="D88" s="31"/>
      <c r="E88" s="31"/>
      <c r="H88" s="32"/>
      <c r="I88" s="32"/>
      <c r="J88" s="32"/>
      <c r="K88" s="32"/>
      <c r="L88" s="32"/>
      <c r="M88" s="32"/>
      <c r="N88" s="32"/>
      <c r="O88" s="32"/>
      <c r="P88" s="32">
        <v>274481</v>
      </c>
      <c r="Q88" s="32">
        <v>539588.08453587198</v>
      </c>
      <c r="R88" s="32">
        <v>563607.94999999995</v>
      </c>
      <c r="S88" s="32">
        <v>578980</v>
      </c>
      <c r="U88" s="32">
        <v>1956657.0345358718</v>
      </c>
      <c r="W88" s="41">
        <f>SUM(H88:U88)-SUM(H89:U91)</f>
        <v>0</v>
      </c>
    </row>
    <row r="89" spans="2:23" ht="17.45" customHeight="1">
      <c r="B89" s="33" t="s">
        <v>151</v>
      </c>
      <c r="C89" s="33"/>
      <c r="D89" s="33"/>
      <c r="E89" s="33"/>
      <c r="H89" s="34"/>
      <c r="I89" s="34"/>
      <c r="J89" s="34"/>
      <c r="K89" s="34"/>
      <c r="L89" s="34"/>
      <c r="M89" s="34"/>
      <c r="N89" s="34"/>
      <c r="O89" s="34"/>
      <c r="P89" s="34">
        <v>182770</v>
      </c>
      <c r="Q89" s="34">
        <v>314980.83950024098</v>
      </c>
      <c r="R89" s="34">
        <v>328961</v>
      </c>
      <c r="S89" s="34">
        <v>320558</v>
      </c>
      <c r="U89" s="34">
        <v>1147269.839500241</v>
      </c>
      <c r="W89" s="41"/>
    </row>
    <row r="90" spans="2:23" ht="17.45" customHeight="1">
      <c r="B90" s="33" t="s">
        <v>150</v>
      </c>
      <c r="C90" s="33"/>
      <c r="D90" s="33"/>
      <c r="E90" s="33"/>
      <c r="H90" s="34"/>
      <c r="I90" s="34"/>
      <c r="J90" s="34"/>
      <c r="K90" s="34"/>
      <c r="L90" s="34"/>
      <c r="M90" s="34"/>
      <c r="N90" s="34"/>
      <c r="O90" s="34"/>
      <c r="P90" s="34">
        <v>91711</v>
      </c>
      <c r="Q90" s="34">
        <v>224607.245035631</v>
      </c>
      <c r="R90" s="34">
        <v>234646.94999999998</v>
      </c>
      <c r="S90" s="34">
        <v>258422</v>
      </c>
      <c r="U90" s="34">
        <v>809387.19503563095</v>
      </c>
      <c r="W90" s="41"/>
    </row>
    <row r="91" spans="2:23" ht="17.45" customHeight="1">
      <c r="B91" s="33" t="s">
        <v>149</v>
      </c>
      <c r="C91" s="33"/>
      <c r="D91" s="33"/>
      <c r="E91" s="33"/>
      <c r="H91" s="34"/>
      <c r="I91" s="34"/>
      <c r="J91" s="34"/>
      <c r="K91" s="34"/>
      <c r="L91" s="34"/>
      <c r="M91" s="34"/>
      <c r="N91" s="34"/>
      <c r="O91" s="34"/>
      <c r="P91" s="34"/>
      <c r="Q91" s="34"/>
      <c r="R91" s="34"/>
      <c r="S91" s="34"/>
      <c r="U91" s="34"/>
      <c r="W91" s="41"/>
    </row>
    <row r="92" spans="2:23" ht="17.45" customHeight="1">
      <c r="B92" s="31" t="s">
        <v>148</v>
      </c>
      <c r="C92" s="31"/>
      <c r="D92" s="31"/>
      <c r="E92" s="31"/>
      <c r="H92" s="32"/>
      <c r="I92" s="32"/>
      <c r="J92" s="32"/>
      <c r="K92" s="32"/>
      <c r="L92" s="32"/>
      <c r="M92" s="32"/>
      <c r="N92" s="32"/>
      <c r="O92" s="32">
        <v>22387.230000000003</v>
      </c>
      <c r="P92" s="32">
        <v>12682.730000000007</v>
      </c>
      <c r="Q92" s="32">
        <v>7543.9999999999982</v>
      </c>
      <c r="R92" s="32">
        <v>7835.3699999999953</v>
      </c>
      <c r="S92" s="32">
        <v>9646</v>
      </c>
      <c r="U92" s="32">
        <v>60095.33</v>
      </c>
      <c r="W92" s="41">
        <f>SUM(H92:U92)-SUM(H93:U94)</f>
        <v>0</v>
      </c>
    </row>
    <row r="93" spans="2:23" ht="17.45" customHeight="1">
      <c r="B93" s="33" t="s">
        <v>147</v>
      </c>
      <c r="C93" s="33"/>
      <c r="D93" s="33"/>
      <c r="E93" s="33"/>
      <c r="H93" s="34"/>
      <c r="I93" s="34"/>
      <c r="J93" s="34"/>
      <c r="K93" s="34"/>
      <c r="L93" s="34"/>
      <c r="M93" s="34"/>
      <c r="N93" s="34"/>
      <c r="O93" s="34"/>
      <c r="P93" s="34"/>
      <c r="Q93" s="34"/>
      <c r="R93" s="34"/>
      <c r="S93" s="34"/>
      <c r="U93" s="34"/>
      <c r="W93" s="41"/>
    </row>
    <row r="94" spans="2:23" ht="17.45" customHeight="1">
      <c r="B94" s="33" t="s">
        <v>146</v>
      </c>
      <c r="C94" s="33"/>
      <c r="D94" s="33"/>
      <c r="E94" s="33"/>
      <c r="H94" s="34"/>
      <c r="I94" s="34"/>
      <c r="J94" s="34"/>
      <c r="K94" s="34"/>
      <c r="L94" s="34"/>
      <c r="M94" s="34"/>
      <c r="N94" s="34"/>
      <c r="O94" s="34">
        <v>22387.230000000003</v>
      </c>
      <c r="P94" s="34">
        <v>12682.730000000007</v>
      </c>
      <c r="Q94" s="34">
        <v>7543.9999999999982</v>
      </c>
      <c r="R94" s="34">
        <v>7835.3699999999953</v>
      </c>
      <c r="S94" s="34">
        <v>9646</v>
      </c>
      <c r="U94" s="34">
        <v>60095.33</v>
      </c>
      <c r="W94" s="41"/>
    </row>
    <row r="95" spans="2:23" ht="17.45" customHeight="1">
      <c r="B95" s="31" t="s">
        <v>145</v>
      </c>
      <c r="C95" s="31"/>
      <c r="D95" s="31"/>
      <c r="E95" s="31"/>
      <c r="H95" s="32"/>
      <c r="I95" s="32"/>
      <c r="J95" s="32"/>
      <c r="K95" s="32"/>
      <c r="L95" s="32"/>
      <c r="M95" s="32"/>
      <c r="N95" s="32"/>
      <c r="O95" s="32">
        <v>-8682.19</v>
      </c>
      <c r="P95" s="32">
        <v>-32747.279999999995</v>
      </c>
      <c r="Q95" s="32">
        <v>-51095.340000000004</v>
      </c>
      <c r="R95" s="32">
        <v>-50288.319999999992</v>
      </c>
      <c r="S95" s="32">
        <v>-50341</v>
      </c>
      <c r="U95" s="32">
        <v>-188530.02000000002</v>
      </c>
      <c r="W95" s="41">
        <f>SUM(H95:U95)-SUM(H96:U96)</f>
        <v>0</v>
      </c>
    </row>
    <row r="96" spans="2:23" ht="17.45" customHeight="1">
      <c r="B96" s="33" t="s">
        <v>144</v>
      </c>
      <c r="C96" s="33"/>
      <c r="D96" s="33"/>
      <c r="E96" s="33"/>
      <c r="H96" s="34"/>
      <c r="I96" s="34"/>
      <c r="J96" s="34"/>
      <c r="K96" s="34"/>
      <c r="L96" s="34"/>
      <c r="M96" s="34"/>
      <c r="N96" s="34"/>
      <c r="O96" s="34">
        <v>-8682.19</v>
      </c>
      <c r="P96" s="34">
        <v>-32747.279999999995</v>
      </c>
      <c r="Q96" s="34">
        <v>-51095.340000000004</v>
      </c>
      <c r="R96" s="34">
        <v>-50288.319999999992</v>
      </c>
      <c r="S96" s="34">
        <v>-50341</v>
      </c>
      <c r="U96" s="34">
        <v>-188530.02000000002</v>
      </c>
      <c r="W96" s="41"/>
    </row>
    <row r="97" spans="2:23" ht="17.45" customHeight="1">
      <c r="B97" s="31" t="s">
        <v>143</v>
      </c>
      <c r="C97" s="31"/>
      <c r="D97" s="31"/>
      <c r="E97" s="31"/>
      <c r="H97" s="32"/>
      <c r="I97" s="32"/>
      <c r="J97" s="32"/>
      <c r="K97" s="32"/>
      <c r="L97" s="32"/>
      <c r="M97" s="32"/>
      <c r="N97" s="32"/>
      <c r="O97" s="32">
        <v>13705.040000000003</v>
      </c>
      <c r="P97" s="32">
        <v>254416.44999999998</v>
      </c>
      <c r="Q97" s="32">
        <v>496036.74453587196</v>
      </c>
      <c r="R97" s="32">
        <v>521154.99999999994</v>
      </c>
      <c r="S97" s="32">
        <v>538285</v>
      </c>
      <c r="U97" s="32">
        <v>1828222.3445358719</v>
      </c>
      <c r="W97" s="41">
        <f>SUM(H88:U88,H92:U92,H95:U95)-SUM(H97:U97)</f>
        <v>0</v>
      </c>
    </row>
    <row r="98" spans="2:23" ht="17.45" customHeight="1">
      <c r="B98" s="35" t="s">
        <v>142</v>
      </c>
      <c r="C98" s="35"/>
      <c r="D98" s="35"/>
      <c r="E98" s="35"/>
      <c r="H98" s="36"/>
      <c r="I98" s="36"/>
      <c r="J98" s="36"/>
      <c r="K98" s="36"/>
      <c r="L98" s="36"/>
      <c r="M98" s="36"/>
      <c r="N98" s="36"/>
      <c r="O98" s="36">
        <v>13705.040000000003</v>
      </c>
      <c r="P98" s="36">
        <v>254417.11</v>
      </c>
      <c r="Q98" s="36">
        <v>486968.71240928298</v>
      </c>
      <c r="R98" s="36">
        <v>521155.38</v>
      </c>
      <c r="S98" s="36">
        <v>538285</v>
      </c>
      <c r="U98" s="36">
        <v>1814531.2424092828</v>
      </c>
    </row>
    <row r="99" spans="2:23" ht="17.45" customHeight="1">
      <c r="B99" s="37" t="s">
        <v>141</v>
      </c>
      <c r="C99" s="37"/>
      <c r="D99" s="37"/>
      <c r="E99" s="37"/>
      <c r="H99" s="38"/>
      <c r="I99" s="38"/>
      <c r="J99" s="38"/>
      <c r="K99" s="38"/>
      <c r="L99" s="38"/>
      <c r="M99" s="38"/>
      <c r="N99" s="38"/>
      <c r="O99" s="38">
        <v>4.2496248062015513E-3</v>
      </c>
      <c r="P99" s="38">
        <v>7.8888821705426354E-2</v>
      </c>
      <c r="Q99" s="38">
        <v>9.8713780007138693E-2</v>
      </c>
      <c r="R99" s="38">
        <v>0.10371243781094526</v>
      </c>
      <c r="S99" s="38">
        <v>0.10712139303482587</v>
      </c>
      <c r="U99" s="38">
        <v>7.9986449314268043E-2</v>
      </c>
    </row>
    <row r="100" spans="2:23" ht="17.45" customHeight="1">
      <c r="B100" s="37" t="s">
        <v>140</v>
      </c>
      <c r="C100" s="37"/>
      <c r="D100" s="37"/>
      <c r="E100" s="37"/>
      <c r="H100" s="38"/>
      <c r="I100" s="38"/>
      <c r="J100" s="38"/>
      <c r="K100" s="38"/>
      <c r="L100" s="38"/>
      <c r="M100" s="38"/>
      <c r="N100" s="38"/>
      <c r="O100" s="38">
        <v>4.2496248062015513E-3</v>
      </c>
      <c r="P100" s="38">
        <v>7.8889026356589148E-2</v>
      </c>
      <c r="Q100" s="38">
        <v>0.10306216135646201</v>
      </c>
      <c r="R100" s="38">
        <v>0.10371251343283582</v>
      </c>
      <c r="S100" s="38">
        <v>0.10712139303482587</v>
      </c>
      <c r="U100" s="38">
        <v>7.9406943797382876E-2</v>
      </c>
    </row>
    <row r="101" spans="2:23" ht="17.45" customHeight="1">
      <c r="B101" s="37" t="s">
        <v>139</v>
      </c>
      <c r="C101" s="37"/>
      <c r="D101" s="37"/>
      <c r="E101" s="37"/>
      <c r="H101" s="40"/>
      <c r="I101" s="39"/>
      <c r="J101" s="39"/>
      <c r="K101" s="39"/>
      <c r="L101" s="39"/>
      <c r="M101" s="39"/>
      <c r="N101" s="39"/>
      <c r="O101" s="39"/>
      <c r="P101" s="39"/>
      <c r="Q101" s="39"/>
      <c r="R101" s="39" t="s">
        <v>42</v>
      </c>
      <c r="S101" s="39">
        <v>10.23</v>
      </c>
      <c r="U101" s="39" t="s">
        <v>137</v>
      </c>
    </row>
    <row r="102" spans="2:23" ht="17.45" customHeight="1">
      <c r="B102" s="37" t="s">
        <v>138</v>
      </c>
      <c r="C102" s="37"/>
      <c r="D102" s="37"/>
      <c r="E102" s="37"/>
      <c r="H102" s="39"/>
      <c r="I102" s="39"/>
      <c r="J102" s="39"/>
      <c r="K102" s="39"/>
      <c r="L102" s="39"/>
      <c r="M102" s="39"/>
      <c r="N102" s="39"/>
      <c r="O102" s="39"/>
      <c r="P102" s="39"/>
      <c r="Q102" s="39"/>
      <c r="R102" s="39">
        <v>10</v>
      </c>
      <c r="S102" s="39">
        <v>10</v>
      </c>
      <c r="U102" s="39" t="s">
        <v>137</v>
      </c>
    </row>
    <row r="103" spans="2:23" ht="24" customHeight="1">
      <c r="H103" s="13"/>
      <c r="I103" s="13"/>
      <c r="J103" s="13"/>
      <c r="K103" s="13"/>
      <c r="L103" s="13"/>
      <c r="M103" s="13"/>
    </row>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Capa</vt:lpstr>
      <vt:lpstr>Portfólio</vt:lpstr>
      <vt:lpstr>Resultado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Fábio Garbossa</dc:creator>
  <cp:lastModifiedBy>Rafael Sinetti</cp:lastModifiedBy>
  <dcterms:created xsi:type="dcterms:W3CDTF">2024-07-11T19:55:40Z</dcterms:created>
  <dcterms:modified xsi:type="dcterms:W3CDTF">2025-06-30T17:59:38Z</dcterms:modified>
</cp:coreProperties>
</file>