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Ex1.xml" ContentType="application/vnd.ms-office.chartex+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G:\Drives compartilhados\Gestao\Imobiliário\Fundos\Papel\EQIR11\2025\Abril\Relatório Gerencial\Publicado\"/>
    </mc:Choice>
  </mc:AlternateContent>
  <xr:revisionPtr revIDLastSave="0" documentId="13_ncr:1_{31B25BBF-8EC7-4C09-8A93-F3F21A6D309D}" xr6:coauthVersionLast="47" xr6:coauthVersionMax="47" xr10:uidLastSave="{00000000-0000-0000-0000-000000000000}"/>
  <bookViews>
    <workbookView xWindow="20370" yWindow="-3225" windowWidth="29040" windowHeight="15720" xr2:uid="{8ED7DAB6-4B17-4306-BB9A-67589D0FBCEA}"/>
  </bookViews>
  <sheets>
    <sheet name="Capa" sheetId="1" r:id="rId1"/>
    <sheet name="Portfólio" sheetId="2" r:id="rId2"/>
    <sheet name="Resultado" sheetId="3" r:id="rId3"/>
  </sheets>
  <definedNames>
    <definedName name="_xlchart.v6.0" hidden="1">Portfólio!$F$134</definedName>
    <definedName name="_xlchart.v6.1" hidden="1">Portfólio!$F$135:$F$145</definedName>
    <definedName name="_xlchart.v6.2" hidden="1">Portfólio!$H$135:$H$145</definedName>
    <definedName name="_xlchart.v6.3" hidden="1">Portfólio!$H$136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3" l="1"/>
  <c r="K16" i="3"/>
  <c r="K12" i="3"/>
  <c r="K21" i="3" l="1"/>
  <c r="K137" i="2" l="1"/>
  <c r="B129" i="2" l="1"/>
  <c r="C129" i="2"/>
  <c r="D129" i="2"/>
  <c r="E129" i="2"/>
  <c r="F129" i="2"/>
  <c r="G129" i="2"/>
  <c r="H129" i="2"/>
  <c r="I129" i="2"/>
  <c r="J129" i="2"/>
  <c r="K129" i="2"/>
  <c r="L129" i="2"/>
  <c r="B130" i="2"/>
  <c r="G130" i="2" s="1"/>
  <c r="C130" i="2"/>
  <c r="D130" i="2"/>
  <c r="E130" i="2"/>
  <c r="F130" i="2"/>
  <c r="K130" i="2"/>
  <c r="B131" i="2"/>
  <c r="D131" i="2" s="1"/>
  <c r="C131" i="2"/>
  <c r="J131" i="2"/>
  <c r="K131" i="2"/>
  <c r="L130" i="2" l="1"/>
  <c r="J130" i="2"/>
  <c r="G131" i="2"/>
  <c r="F131" i="2"/>
  <c r="I130" i="2"/>
  <c r="H131" i="2"/>
  <c r="E131" i="2"/>
  <c r="H130" i="2"/>
  <c r="I131" i="2"/>
  <c r="L131" i="2"/>
  <c r="M10"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39" i="2"/>
  <c r="K46" i="2"/>
  <c r="L46" i="2"/>
  <c r="J19" i="3" l="1"/>
  <c r="J16" i="3"/>
  <c r="J12" i="3"/>
  <c r="J21" i="3" s="1"/>
  <c r="I19" i="3" l="1"/>
  <c r="I16" i="3"/>
  <c r="I12" i="3"/>
  <c r="I21" i="3" l="1"/>
  <c r="H19" i="3"/>
  <c r="H16" i="3"/>
  <c r="H12" i="3"/>
  <c r="I9" i="3"/>
  <c r="J9" i="3" s="1"/>
  <c r="K9" i="3" s="1"/>
  <c r="L9" i="3" s="1"/>
  <c r="M9" i="3" s="1"/>
  <c r="N9" i="3" s="1"/>
  <c r="O9" i="3" s="1"/>
  <c r="P9" i="3" s="1"/>
  <c r="Q9" i="3" s="1"/>
  <c r="R9" i="3" s="1"/>
  <c r="S9" i="3" s="1"/>
  <c r="U24" i="3"/>
  <c r="U23" i="3"/>
  <c r="U22" i="3"/>
  <c r="U20" i="3"/>
  <c r="U18" i="3"/>
  <c r="U17" i="3"/>
  <c r="U15" i="3"/>
  <c r="U14" i="3"/>
  <c r="U13" i="3"/>
  <c r="S38" i="3"/>
  <c r="S35" i="3"/>
  <c r="S31" i="3"/>
  <c r="K128" i="2"/>
  <c r="C128" i="2"/>
  <c r="B128" i="2"/>
  <c r="G128" i="2" s="1"/>
  <c r="K127" i="2"/>
  <c r="C127" i="2"/>
  <c r="B127" i="2"/>
  <c r="J127" i="2" s="1"/>
  <c r="K126" i="2"/>
  <c r="C126" i="2"/>
  <c r="B126" i="2"/>
  <c r="J126" i="2" s="1"/>
  <c r="K125" i="2"/>
  <c r="C125" i="2"/>
  <c r="B125" i="2"/>
  <c r="H125" i="2" s="1"/>
  <c r="K124" i="2"/>
  <c r="C124" i="2"/>
  <c r="B124" i="2"/>
  <c r="J124" i="2" s="1"/>
  <c r="K123" i="2"/>
  <c r="C123" i="2"/>
  <c r="B123" i="2"/>
  <c r="J123" i="2" s="1"/>
  <c r="K122" i="2"/>
  <c r="C122" i="2"/>
  <c r="B122" i="2"/>
  <c r="I122" i="2" s="1"/>
  <c r="K121" i="2"/>
  <c r="C121" i="2"/>
  <c r="B121" i="2"/>
  <c r="L121" i="2" s="1"/>
  <c r="K120" i="2"/>
  <c r="C120" i="2"/>
  <c r="B120" i="2"/>
  <c r="L120" i="2" s="1"/>
  <c r="K119" i="2"/>
  <c r="C119" i="2"/>
  <c r="B119" i="2"/>
  <c r="J119" i="2" s="1"/>
  <c r="K118" i="2"/>
  <c r="C118" i="2"/>
  <c r="B118" i="2"/>
  <c r="J118" i="2" s="1"/>
  <c r="K117" i="2"/>
  <c r="C117" i="2"/>
  <c r="B117" i="2"/>
  <c r="H117" i="2" s="1"/>
  <c r="K116" i="2"/>
  <c r="C116" i="2"/>
  <c r="B116" i="2"/>
  <c r="J116" i="2" s="1"/>
  <c r="K115" i="2"/>
  <c r="C115" i="2"/>
  <c r="B115" i="2"/>
  <c r="J115" i="2" s="1"/>
  <c r="K114" i="2"/>
  <c r="C114" i="2"/>
  <c r="B114" i="2"/>
  <c r="I114" i="2" s="1"/>
  <c r="K113" i="2"/>
  <c r="C113" i="2"/>
  <c r="B113" i="2"/>
  <c r="L113" i="2" s="1"/>
  <c r="K112" i="2"/>
  <c r="C112" i="2"/>
  <c r="B112" i="2"/>
  <c r="L112" i="2" s="1"/>
  <c r="K111" i="2"/>
  <c r="C111" i="2"/>
  <c r="B111" i="2"/>
  <c r="J111" i="2" s="1"/>
  <c r="K110" i="2"/>
  <c r="C110" i="2"/>
  <c r="B110" i="2"/>
  <c r="J110" i="2" s="1"/>
  <c r="K109" i="2"/>
  <c r="C109" i="2"/>
  <c r="B109" i="2"/>
  <c r="H109" i="2" s="1"/>
  <c r="K108" i="2"/>
  <c r="C108" i="2"/>
  <c r="B108" i="2"/>
  <c r="J108" i="2" s="1"/>
  <c r="K107" i="2"/>
  <c r="C107" i="2"/>
  <c r="B107" i="2"/>
  <c r="J107" i="2" s="1"/>
  <c r="K106" i="2"/>
  <c r="C106" i="2"/>
  <c r="B106" i="2"/>
  <c r="I106" i="2" s="1"/>
  <c r="K105" i="2"/>
  <c r="C105" i="2"/>
  <c r="B105" i="2"/>
  <c r="L105" i="2" s="1"/>
  <c r="K104" i="2"/>
  <c r="C104" i="2"/>
  <c r="B104" i="2"/>
  <c r="L104" i="2" s="1"/>
  <c r="K103" i="2"/>
  <c r="C103" i="2"/>
  <c r="B103" i="2"/>
  <c r="J103" i="2" s="1"/>
  <c r="K102" i="2"/>
  <c r="C102" i="2"/>
  <c r="B102" i="2"/>
  <c r="J102" i="2" s="1"/>
  <c r="K101" i="2"/>
  <c r="C101" i="2"/>
  <c r="B101" i="2"/>
  <c r="H101" i="2" s="1"/>
  <c r="K100" i="2"/>
  <c r="C100" i="2"/>
  <c r="B100" i="2"/>
  <c r="J100" i="2" s="1"/>
  <c r="K99" i="2"/>
  <c r="C99" i="2"/>
  <c r="B99" i="2"/>
  <c r="J99" i="2" s="1"/>
  <c r="K135" i="2" l="1"/>
  <c r="I104" i="2"/>
  <c r="H104" i="2"/>
  <c r="L124" i="2"/>
  <c r="G123" i="2"/>
  <c r="L123" i="2"/>
  <c r="H21" i="3"/>
  <c r="U21" i="3" s="1"/>
  <c r="H128" i="2"/>
  <c r="I99" i="2"/>
  <c r="F101" i="2"/>
  <c r="G126" i="2"/>
  <c r="I128" i="2"/>
  <c r="L107" i="2"/>
  <c r="I115" i="2"/>
  <c r="L99" i="2"/>
  <c r="H123" i="2"/>
  <c r="F104" i="2"/>
  <c r="I102" i="2"/>
  <c r="G104" i="2"/>
  <c r="I123" i="2"/>
  <c r="D102" i="2"/>
  <c r="F120" i="2"/>
  <c r="D127" i="2"/>
  <c r="I108" i="2"/>
  <c r="G107" i="2"/>
  <c r="F115" i="2"/>
  <c r="I116" i="2"/>
  <c r="G120" i="2"/>
  <c r="F127" i="2"/>
  <c r="F112" i="2"/>
  <c r="I117" i="2"/>
  <c r="D115" i="2"/>
  <c r="D116" i="2"/>
  <c r="F102" i="2"/>
  <c r="G102" i="2"/>
  <c r="H107" i="2"/>
  <c r="L108" i="2"/>
  <c r="G115" i="2"/>
  <c r="I124" i="2"/>
  <c r="D126" i="2"/>
  <c r="D103" i="2"/>
  <c r="H102" i="2"/>
  <c r="I107" i="2"/>
  <c r="H115" i="2"/>
  <c r="L116" i="2"/>
  <c r="F126" i="2"/>
  <c r="H103" i="2"/>
  <c r="D110" i="2"/>
  <c r="G112" i="2"/>
  <c r="F110" i="2"/>
  <c r="F118" i="2"/>
  <c r="H119" i="2"/>
  <c r="H120" i="2"/>
  <c r="D100" i="2"/>
  <c r="F99" i="2"/>
  <c r="I100" i="2"/>
  <c r="I101" i="2"/>
  <c r="G110" i="2"/>
  <c r="I112" i="2"/>
  <c r="G118" i="2"/>
  <c r="I119" i="2"/>
  <c r="I120" i="2"/>
  <c r="F125" i="2"/>
  <c r="H126" i="2"/>
  <c r="H127" i="2"/>
  <c r="D107" i="2"/>
  <c r="G99" i="2"/>
  <c r="L103" i="2"/>
  <c r="G109" i="2"/>
  <c r="H110" i="2"/>
  <c r="L115" i="2"/>
  <c r="H118" i="2"/>
  <c r="I125" i="2"/>
  <c r="I126" i="2"/>
  <c r="I127" i="2"/>
  <c r="D111" i="2"/>
  <c r="G101" i="2"/>
  <c r="G106" i="2"/>
  <c r="D99" i="2"/>
  <c r="I103" i="2"/>
  <c r="H111" i="2"/>
  <c r="H112" i="2"/>
  <c r="G114" i="2"/>
  <c r="F109" i="2"/>
  <c r="I111" i="2"/>
  <c r="H99" i="2"/>
  <c r="L100" i="2"/>
  <c r="L102" i="2"/>
  <c r="F107" i="2"/>
  <c r="D108" i="2"/>
  <c r="I109" i="2"/>
  <c r="I110" i="2"/>
  <c r="L111" i="2"/>
  <c r="F117" i="2"/>
  <c r="I118" i="2"/>
  <c r="L119" i="2"/>
  <c r="F123" i="2"/>
  <c r="D124" i="2"/>
  <c r="D118" i="2"/>
  <c r="L126" i="2"/>
  <c r="L127" i="2"/>
  <c r="D119" i="2"/>
  <c r="L110" i="2"/>
  <c r="L118" i="2"/>
  <c r="D123" i="2"/>
  <c r="E109" i="2"/>
  <c r="E110" i="2"/>
  <c r="E102" i="2"/>
  <c r="E125" i="2"/>
  <c r="E101" i="2"/>
  <c r="E127" i="2"/>
  <c r="E128" i="2"/>
  <c r="E100" i="2"/>
  <c r="E126" i="2"/>
  <c r="E103" i="2"/>
  <c r="E116" i="2"/>
  <c r="E108" i="2"/>
  <c r="S40" i="3"/>
  <c r="U19" i="3"/>
  <c r="W19" i="3" s="1"/>
  <c r="U12" i="3"/>
  <c r="W12" i="3" s="1"/>
  <c r="J114" i="2"/>
  <c r="J125" i="2"/>
  <c r="J104" i="2"/>
  <c r="G113" i="2"/>
  <c r="J128" i="2"/>
  <c r="J122" i="2"/>
  <c r="J101" i="2"/>
  <c r="J117" i="2"/>
  <c r="F121" i="2"/>
  <c r="F100" i="2"/>
  <c r="F108" i="2"/>
  <c r="J112" i="2"/>
  <c r="D114" i="2"/>
  <c r="L114" i="2"/>
  <c r="F124" i="2"/>
  <c r="G100" i="2"/>
  <c r="D101" i="2"/>
  <c r="L101" i="2"/>
  <c r="F103" i="2"/>
  <c r="H105" i="2"/>
  <c r="G108" i="2"/>
  <c r="D109" i="2"/>
  <c r="L109" i="2"/>
  <c r="F111" i="2"/>
  <c r="H113" i="2"/>
  <c r="G116" i="2"/>
  <c r="D117" i="2"/>
  <c r="L117" i="2"/>
  <c r="F119" i="2"/>
  <c r="H121" i="2"/>
  <c r="G124" i="2"/>
  <c r="D125" i="2"/>
  <c r="L125" i="2"/>
  <c r="J106" i="2"/>
  <c r="F105" i="2"/>
  <c r="J109" i="2"/>
  <c r="F113" i="2"/>
  <c r="G105" i="2"/>
  <c r="D106" i="2"/>
  <c r="L106" i="2"/>
  <c r="F116" i="2"/>
  <c r="J120" i="2"/>
  <c r="G121" i="2"/>
  <c r="D122" i="2"/>
  <c r="L122" i="2"/>
  <c r="H100" i="2"/>
  <c r="G103" i="2"/>
  <c r="D104" i="2"/>
  <c r="I105" i="2"/>
  <c r="F106" i="2"/>
  <c r="H108" i="2"/>
  <c r="G111" i="2"/>
  <c r="D112" i="2"/>
  <c r="I113" i="2"/>
  <c r="F114" i="2"/>
  <c r="H116" i="2"/>
  <c r="G119" i="2"/>
  <c r="D120" i="2"/>
  <c r="I121" i="2"/>
  <c r="F122" i="2"/>
  <c r="H124" i="2"/>
  <c r="G127" i="2"/>
  <c r="D128" i="2"/>
  <c r="L128" i="2"/>
  <c r="J105" i="2"/>
  <c r="J113" i="2"/>
  <c r="J121" i="2"/>
  <c r="G122" i="2"/>
  <c r="H114" i="2"/>
  <c r="G117" i="2"/>
  <c r="H122" i="2"/>
  <c r="G125" i="2"/>
  <c r="F128" i="2"/>
  <c r="H106" i="2"/>
  <c r="D105" i="2"/>
  <c r="D113" i="2"/>
  <c r="D121" i="2"/>
  <c r="E112" i="2" l="1"/>
  <c r="E115" i="2"/>
  <c r="E106" i="2"/>
  <c r="E99" i="2"/>
  <c r="E113" i="2"/>
  <c r="E121" i="2"/>
  <c r="E105" i="2"/>
  <c r="E117" i="2"/>
  <c r="E119" i="2"/>
  <c r="E124" i="2"/>
  <c r="E122" i="2"/>
  <c r="E111" i="2"/>
  <c r="E107" i="2"/>
  <c r="E114" i="2"/>
  <c r="E118" i="2"/>
  <c r="E120" i="2"/>
  <c r="E104" i="2"/>
  <c r="E123" i="2"/>
  <c r="C98" i="2"/>
  <c r="B98" i="2"/>
  <c r="D98" i="2" s="1"/>
  <c r="U43" i="3"/>
  <c r="U42" i="3"/>
  <c r="U41" i="3"/>
  <c r="U39" i="3"/>
  <c r="U37" i="3"/>
  <c r="U36" i="3"/>
  <c r="U34" i="3"/>
  <c r="U33" i="3"/>
  <c r="U32" i="3"/>
  <c r="R38" i="3"/>
  <c r="R35" i="3"/>
  <c r="Q35" i="3"/>
  <c r="R31" i="3"/>
  <c r="Q38" i="3"/>
  <c r="Q31" i="3"/>
  <c r="K98" i="2"/>
  <c r="U35" i="3" l="1"/>
  <c r="L98" i="2"/>
  <c r="U31" i="3"/>
  <c r="U38" i="3"/>
  <c r="R40" i="3"/>
  <c r="Q40" i="3"/>
  <c r="U40" i="3" l="1"/>
  <c r="E98" i="2"/>
  <c r="W97" i="3" l="1"/>
  <c r="W95" i="3"/>
  <c r="W92" i="3"/>
  <c r="W88" i="3"/>
  <c r="W69" i="3"/>
  <c r="W78" i="3"/>
  <c r="W76" i="3"/>
  <c r="W73" i="3"/>
  <c r="W50" i="3"/>
  <c r="W59" i="3"/>
  <c r="W57" i="3"/>
  <c r="W54" i="3"/>
  <c r="W40" i="3"/>
  <c r="W38" i="3"/>
  <c r="W35" i="3"/>
  <c r="W31" i="3"/>
  <c r="F98" i="2"/>
  <c r="G98" i="2"/>
  <c r="H98" i="2"/>
  <c r="N135" i="2" l="1"/>
  <c r="N142" i="2"/>
  <c r="H135" i="2"/>
  <c r="H145" i="2"/>
  <c r="Q136" i="2"/>
  <c r="Q137" i="2"/>
  <c r="Q135" i="2"/>
  <c r="N140" i="2"/>
  <c r="K136" i="2"/>
  <c r="H144" i="2"/>
  <c r="H137" i="2" l="1"/>
  <c r="N141" i="2"/>
  <c r="N137" i="2"/>
  <c r="N139" i="2"/>
  <c r="N138" i="2"/>
  <c r="N136" i="2"/>
  <c r="H143" i="2"/>
  <c r="H136" i="2"/>
  <c r="H138" i="2"/>
  <c r="H139" i="2"/>
  <c r="H140" i="2"/>
  <c r="Q138" i="2"/>
  <c r="H141" i="2"/>
  <c r="H142" i="2"/>
  <c r="I98" i="2" l="1"/>
  <c r="C135" i="2" l="1"/>
  <c r="C143" i="2" l="1"/>
  <c r="C140" i="2"/>
  <c r="C137" i="2"/>
  <c r="C139" i="2"/>
  <c r="C141" i="2"/>
  <c r="C136" i="2"/>
  <c r="C142" i="2"/>
  <c r="C138" i="2"/>
  <c r="J98" i="2" l="1"/>
  <c r="D142" i="2" l="1"/>
  <c r="D139" i="2"/>
  <c r="D136" i="2"/>
  <c r="D141" i="2"/>
  <c r="D137" i="2"/>
  <c r="D138" i="2"/>
  <c r="D135" i="2"/>
  <c r="D140" i="2"/>
  <c r="D143" i="2"/>
  <c r="U16" i="3" l="1"/>
  <c r="W21" i="3" s="1"/>
  <c r="W16" i="3"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0">
    <bk>
      <extLst>
        <ext uri="{3e2802c4-a4d2-4d8b-9148-e3be6c30e623}">
          <xlrd:rvb i="0"/>
        </ext>
      </extLst>
    </bk>
    <bk>
      <extLst>
        <ext uri="{3e2802c4-a4d2-4d8b-9148-e3be6c30e623}">
          <xlrd:rvb i="10"/>
        </ext>
      </extLst>
    </bk>
    <bk>
      <extLst>
        <ext uri="{3e2802c4-a4d2-4d8b-9148-e3be6c30e623}">
          <xlrd:rvb i="19"/>
        </ext>
      </extLst>
    </bk>
    <bk>
      <extLst>
        <ext uri="{3e2802c4-a4d2-4d8b-9148-e3be6c30e623}">
          <xlrd:rvb i="28"/>
        </ext>
      </extLst>
    </bk>
    <bk>
      <extLst>
        <ext uri="{3e2802c4-a4d2-4d8b-9148-e3be6c30e623}">
          <xlrd:rvb i="38"/>
        </ext>
      </extLst>
    </bk>
    <bk>
      <extLst>
        <ext uri="{3e2802c4-a4d2-4d8b-9148-e3be6c30e623}">
          <xlrd:rvb i="50"/>
        </ext>
      </extLst>
    </bk>
    <bk>
      <extLst>
        <ext uri="{3e2802c4-a4d2-4d8b-9148-e3be6c30e623}">
          <xlrd:rvb i="59"/>
        </ext>
      </extLst>
    </bk>
    <bk>
      <extLst>
        <ext uri="{3e2802c4-a4d2-4d8b-9148-e3be6c30e623}">
          <xlrd:rvb i="68"/>
        </ext>
      </extLst>
    </bk>
    <bk>
      <extLst>
        <ext uri="{3e2802c4-a4d2-4d8b-9148-e3be6c30e623}">
          <xlrd:rvb i="77"/>
        </ext>
      </extLst>
    </bk>
    <bk>
      <extLst>
        <ext uri="{3e2802c4-a4d2-4d8b-9148-e3be6c30e623}">
          <xlrd:rvb i="86"/>
        </ext>
      </extLst>
    </bk>
  </futureMetadata>
  <valueMetadata count="10">
    <bk>
      <rc t="1" v="0"/>
    </bk>
    <bk>
      <rc t="1" v="1"/>
    </bk>
    <bk>
      <rc t="1" v="2"/>
    </bk>
    <bk>
      <rc t="1" v="3"/>
    </bk>
    <bk>
      <rc t="1" v="4"/>
    </bk>
    <bk>
      <rc t="1" v="5"/>
    </bk>
    <bk>
      <rc t="1" v="6"/>
    </bk>
    <bk>
      <rc t="1" v="7"/>
    </bk>
    <bk>
      <rc t="1" v="8"/>
    </bk>
    <bk>
      <rc t="1" v="9"/>
    </bk>
  </valueMetadata>
</metadata>
</file>

<file path=xl/sharedStrings.xml><?xml version="1.0" encoding="utf-8"?>
<sst xmlns="http://schemas.openxmlformats.org/spreadsheetml/2006/main" count="520" uniqueCount="225">
  <si>
    <t>Investidores em geral</t>
  </si>
  <si>
    <t>Público alvo:</t>
  </si>
  <si>
    <t>Indeterminado</t>
  </si>
  <si>
    <t>Prazo:</t>
  </si>
  <si>
    <t>TVM Gestão Ativa - Títulos e Valores Mobiliários</t>
  </si>
  <si>
    <t>Tipo Anbima:</t>
  </si>
  <si>
    <t>2 emissões de cotas realizadas</t>
  </si>
  <si>
    <t>Ofertas concluídas</t>
  </si>
  <si>
    <t>Não possuí</t>
  </si>
  <si>
    <t>Taxa de Performance:</t>
  </si>
  <si>
    <t>Taxa de Adminstração:</t>
  </si>
  <si>
    <t>Gestora:</t>
  </si>
  <si>
    <t>Adminstradora:</t>
  </si>
  <si>
    <t>Agosto de 2021</t>
  </si>
  <si>
    <t>Início das atividades:</t>
  </si>
  <si>
    <t>INFORMAÇÕES GERAIS</t>
  </si>
  <si>
    <t xml:space="preserve">Poderão integrar o patrimônio do fundo i) Certificados de Recebíveis Imobiliários (CRI); ii) Letras de Crédito Imobiliário (LCI); Letras Hipotecárias (LH); Letras Imobiliárias Garantidas (LIG); Cotas de outros Fundos de Investimento Imobiliário (FII); e Cotas de Fundos de Investimento em Direitos Creditórios (FIDC) que tenham como política de investimento, exclusivamente, atividades permitidas aos FII e desde que as cotas tenham sido objeto de oferta pública registrada na CVM ou cujo registro tenha sido dispensado nos termos da regulamentação em vigor. </t>
  </si>
  <si>
    <t>POLÍTICA DE INVESTIMENTOS</t>
  </si>
  <si>
    <t>OBJETIVO DO FUNDO</t>
  </si>
  <si>
    <t>EQI Recebíveis Imobiliários FII - EQIR11</t>
  </si>
  <si>
    <t>PE</t>
  </si>
  <si>
    <t>Varejo</t>
  </si>
  <si>
    <t>PA</t>
  </si>
  <si>
    <t>RS</t>
  </si>
  <si>
    <t>2033+</t>
  </si>
  <si>
    <t>Home Equity</t>
  </si>
  <si>
    <t>RJ</t>
  </si>
  <si>
    <t>Outros</t>
  </si>
  <si>
    <t>MT</t>
  </si>
  <si>
    <t>DF</t>
  </si>
  <si>
    <t>Loteamento</t>
  </si>
  <si>
    <t>SC</t>
  </si>
  <si>
    <t>76% - 100%</t>
  </si>
  <si>
    <t>Residencial</t>
  </si>
  <si>
    <t>GO</t>
  </si>
  <si>
    <t>51% - 75%</t>
  </si>
  <si>
    <t>Energia</t>
  </si>
  <si>
    <t>MG</t>
  </si>
  <si>
    <t>26% - 50%</t>
  </si>
  <si>
    <t>Corporativo</t>
  </si>
  <si>
    <t xml:space="preserve">CDI </t>
  </si>
  <si>
    <t>Pulverizado</t>
  </si>
  <si>
    <t>-</t>
  </si>
  <si>
    <t>0% - 25%</t>
  </si>
  <si>
    <t>Galpões Logísticos</t>
  </si>
  <si>
    <t>IPCA</t>
  </si>
  <si>
    <t>SP</t>
  </si>
  <si>
    <t>LTV</t>
  </si>
  <si>
    <t>Segmento</t>
  </si>
  <si>
    <t>Indexador</t>
  </si>
  <si>
    <t>Localização</t>
  </si>
  <si>
    <t>Duration</t>
  </si>
  <si>
    <t>Vencimento</t>
  </si>
  <si>
    <t>Ano</t>
  </si>
  <si>
    <t>21L0354209</t>
  </si>
  <si>
    <t>23B0493519</t>
  </si>
  <si>
    <t>23G0006401</t>
  </si>
  <si>
    <t>21I0912120</t>
  </si>
  <si>
    <t>21D0779652</t>
  </si>
  <si>
    <t>21D0402879</t>
  </si>
  <si>
    <t>21F0568989</t>
  </si>
  <si>
    <t>20K0568000</t>
  </si>
  <si>
    <t>21H0001405</t>
  </si>
  <si>
    <t>23C2831601</t>
  </si>
  <si>
    <t>21E0665350</t>
  </si>
  <si>
    <t>20K0696607</t>
  </si>
  <si>
    <t>21H0748795</t>
  </si>
  <si>
    <t>21B0631104</t>
  </si>
  <si>
    <t>20G0926014</t>
  </si>
  <si>
    <t>23G2304202</t>
  </si>
  <si>
    <t>22K1685406</t>
  </si>
  <si>
    <t>23L1199759</t>
  </si>
  <si>
    <t>21H0891311</t>
  </si>
  <si>
    <t>24A2806776</t>
  </si>
  <si>
    <t>21H0888186</t>
  </si>
  <si>
    <t>23J1338137</t>
  </si>
  <si>
    <t>21L0355178</t>
  </si>
  <si>
    <t>23H1104566</t>
  </si>
  <si>
    <t>23I1816075</t>
  </si>
  <si>
    <t>23I1257019</t>
  </si>
  <si>
    <t>23G0006601</t>
  </si>
  <si>
    <t>Indexadores</t>
  </si>
  <si>
    <t>Segmentos</t>
  </si>
  <si>
    <t>Emissores</t>
  </si>
  <si>
    <t>% de CRIs</t>
  </si>
  <si>
    <t>% do PL</t>
  </si>
  <si>
    <t>Devedor</t>
  </si>
  <si>
    <t>IF</t>
  </si>
  <si>
    <t>IPCA +</t>
  </si>
  <si>
    <t>Tesouro Nacional</t>
  </si>
  <si>
    <t>Cx.</t>
  </si>
  <si>
    <t>VRTM11</t>
  </si>
  <si>
    <t>FII</t>
  </si>
  <si>
    <t>True</t>
  </si>
  <si>
    <t>Viracopos</t>
  </si>
  <si>
    <t>CRI</t>
  </si>
  <si>
    <t>Canal</t>
  </si>
  <si>
    <t>ForGreen</t>
  </si>
  <si>
    <t>Habitat</t>
  </si>
  <si>
    <t>Ore</t>
  </si>
  <si>
    <t>Minas Brisa</t>
  </si>
  <si>
    <t>Opea</t>
  </si>
  <si>
    <t>Virgo</t>
  </si>
  <si>
    <t>Wimo</t>
  </si>
  <si>
    <t>Pontte</t>
  </si>
  <si>
    <t>Pulverizado Ore</t>
  </si>
  <si>
    <t>Sinal</t>
  </si>
  <si>
    <t>Casa &amp; Vídeo</t>
  </si>
  <si>
    <t>CDI +</t>
  </si>
  <si>
    <t>Teriva</t>
  </si>
  <si>
    <t>Travessia</t>
  </si>
  <si>
    <t>Solfarma</t>
  </si>
  <si>
    <t>Pague Menos</t>
  </si>
  <si>
    <t>CK</t>
  </si>
  <si>
    <t>Sotreq</t>
  </si>
  <si>
    <t>Habitasec</t>
  </si>
  <si>
    <t>Quero Quero</t>
  </si>
  <si>
    <t>Caprem</t>
  </si>
  <si>
    <t>Diferencial</t>
  </si>
  <si>
    <t>Urba</t>
  </si>
  <si>
    <t>Lote5</t>
  </si>
  <si>
    <t>RCP</t>
  </si>
  <si>
    <t>Opy</t>
  </si>
  <si>
    <t>Brasol</t>
  </si>
  <si>
    <t>Lotus</t>
  </si>
  <si>
    <t>CitLog Varginha</t>
  </si>
  <si>
    <t>Estado</t>
  </si>
  <si>
    <t>% dos CRIs</t>
  </si>
  <si>
    <t>% da Carteira</t>
  </si>
  <si>
    <t>Saldo MTM
(R$)</t>
  </si>
  <si>
    <t>Taxa MTM</t>
  </si>
  <si>
    <t>Taxa Aquisição</t>
  </si>
  <si>
    <t>Index</t>
  </si>
  <si>
    <t>Emissor</t>
  </si>
  <si>
    <t xml:space="preserve">Setor de Atuação </t>
  </si>
  <si>
    <t>Código</t>
  </si>
  <si>
    <t>Ativo</t>
  </si>
  <si>
    <t>n/a</t>
  </si>
  <si>
    <t>Cota Mercado</t>
  </si>
  <si>
    <t>Cota Patrimonial</t>
  </si>
  <si>
    <t>Rendimento / Cota</t>
  </si>
  <si>
    <t>Resultado / Cota</t>
  </si>
  <si>
    <t>Rendimento</t>
  </si>
  <si>
    <t>Resultado Operacional</t>
  </si>
  <si>
    <t>Despesas Operacionais</t>
  </si>
  <si>
    <t>Total de Despesas</t>
  </si>
  <si>
    <t>Renda Fixa</t>
  </si>
  <si>
    <t>Fundos Imobiliários</t>
  </si>
  <si>
    <t>Outras Receitas</t>
  </si>
  <si>
    <t>CRI - Negociação</t>
  </si>
  <si>
    <t>CRI - Correção Monetária</t>
  </si>
  <si>
    <t>CRI - Juros</t>
  </si>
  <si>
    <t>Receita Operacional</t>
  </si>
  <si>
    <t>EQI Recebíveis Imobiliários 2021</t>
  </si>
  <si>
    <t>EQI Recebíveis Imobiliários 2022</t>
  </si>
  <si>
    <t>EQI Recebíveis Imobiliários 2023</t>
  </si>
  <si>
    <t>EQI Recebíveis Imobiliários 2024</t>
  </si>
  <si>
    <r>
      <t xml:space="preserve">O </t>
    </r>
    <r>
      <rPr>
        <b/>
        <sz val="12"/>
        <color rgb="FF6D6E70"/>
        <rFont val="Compasse"/>
        <family val="2"/>
      </rPr>
      <t xml:space="preserve">EQI Recebíveis Imobiliários FII </t>
    </r>
    <r>
      <rPr>
        <sz val="12"/>
        <color rgb="FF6D6E70"/>
        <rFont val="Compasse"/>
        <family val="2"/>
      </rPr>
      <t>tem como objetivo investir majoritariamente em Certificados de Recebíveis Imobiliários (“CRI”), compondo um portfólio com risco de crédito moderado e rentabilidade alvo de IPCA + 8% ao ano líquido de custos.</t>
    </r>
  </si>
  <si>
    <t>BTG Pactual Serviços Financeiros S.A. DTVM</t>
  </si>
  <si>
    <t>EuQueroInvestir Gestão de Recursos Ltda. (“EQI Asset”)</t>
  </si>
  <si>
    <t>A Taxa de Administração será equivalente a 1,00% (um inteiro por cento) ao ano, à razão de 1/12 avos, calculado sobre o valor contábil do patrimônio líquido do fundo</t>
  </si>
  <si>
    <t>PORTFÓLIO DO FUNDO</t>
  </si>
  <si>
    <t>DRE GERENCIAL</t>
  </si>
  <si>
    <t>Descrição</t>
  </si>
  <si>
    <t>Garantias</t>
  </si>
  <si>
    <t>Operação com risco de crédito da construtora e incorporadora Habitat e baseada em 8 projetos, sendo 3 residenciais, 1 escritório e 4 loteamentos.</t>
  </si>
  <si>
    <t>AF, AF de cotas, CF, FR, FD e Aval</t>
  </si>
  <si>
    <t>CRI baseado em um galpão logístico localizado em Varginha-MG, locado para empresas do ramo logístico, automotivo e farmacêutico através de contratos típicos e atípicos. O CRI conta com garantia do ativo logístico.</t>
  </si>
  <si>
    <t>AF e FD</t>
  </si>
  <si>
    <t>Operação com risco de crédito da construtora e incorporadora Lotus e baseada em 7 projetos, sendo 5 residenciais e 2 escritórios.</t>
  </si>
  <si>
    <t>AF, CF, FR, FD e Aval</t>
  </si>
  <si>
    <t>CRI baseado em 3 usinas de geração solar distribuída desenvolvidas pelo Grupo Oeste. O CRI conta com garantia de subordinação da Brasol.</t>
  </si>
  <si>
    <t>AF, CF, FR, FD e Subordinação</t>
  </si>
  <si>
    <t>CRI baseado em centro logístico localizado em Itupeva-SP, locado para empresas do ramo de construção civil, comércio eletrônico e embalagens. O CRI conta com garantia do ativo logístico.</t>
  </si>
  <si>
    <t>CRI baseado em 9 usinas de geração solar distribuída desenvolvidas pela ForGreen.</t>
  </si>
  <si>
    <t>CRI baseado no Hospital Metropolitano Dr. Célio de Castro localizado em Belo Horizonte-MG. O CRI conta com garantia do aval da Opy Health.</t>
  </si>
  <si>
    <t>CF, FR, FD e Aval</t>
  </si>
  <si>
    <t>CRI baseado em centro logístico localizado em Rio Claro-SP, locado para empresas do ramo automotivo, alimentício, logístico, industrial, construção civil e eletrodomésticos. O CRI conta com garantia do ativo logístico.</t>
  </si>
  <si>
    <t>AF, CF, FR e Aval</t>
  </si>
  <si>
    <t>CRI baseado em 2 loteamentos em desenvolvimento em Campinas-SP pela incorporadora e loteadora Lote5. O CRI conta com garantia do terreno dos projetos.</t>
  </si>
  <si>
    <t>CRI baseado em uma carteira de recebíveis de loteamentos originada pela Urba. O CRI conta com garantia de subordinação da Urba. A parcela adquirida tem natureza mezanino na estrutura de subordinação dessa operação.</t>
  </si>
  <si>
    <t>CRI baseado em 3 usinas de geração solar distribuída desenvolvidas pela KWP Energia e Diferencial Energia.</t>
  </si>
  <si>
    <t xml:space="preserve">CRI baseado em projeto residencial em desenvolvimento localizado em Rio Claro-SP. </t>
  </si>
  <si>
    <t>AF, CF, FR e Fiança</t>
  </si>
  <si>
    <t>CRI baseado em um galpão logístico localizado em Sapiranga-RS, locado para a Quero Quero. O CRI conta com garantia do ativo logístico.</t>
  </si>
  <si>
    <t>CRI baseado em um galpão logístico localizado em Parauapebas-PA, locado para a Sotreq. O CRI conta com garantia do ativo logístico.</t>
  </si>
  <si>
    <t xml:space="preserve">CRI baseado em projeto residencial em desenvolvimento localizado na Praia Brava em Itajaí-SC. </t>
  </si>
  <si>
    <t>CRI baseado em 6 usinas de geração solar distribuída desenvolvidas pela Brasol para atender a rede de farmácias Pague Menos.</t>
  </si>
  <si>
    <t>AF, AF de cotas, CF e FR</t>
  </si>
  <si>
    <t>CRI baseado em um galpão logístico localizado em Bebedouro-SP, locado para a Solfarma Distribuidora. O CRI conta com garantia do ativo logístico.</t>
  </si>
  <si>
    <t>AF, CF, FR e FD</t>
  </si>
  <si>
    <t>CRI baseado em 2 loteamentos localizados em Bragança Paulista e Atibaia-SP.</t>
  </si>
  <si>
    <t>AF de cotas, CF, FR, FD e Aval</t>
  </si>
  <si>
    <t>Operação com risco de crédito da varejista Casa e Vídeo.</t>
  </si>
  <si>
    <t>CF</t>
  </si>
  <si>
    <t>Operação com risco de crédito da rede de concessionárias Grupo Sinal, com garantia de galpão logístico localizado em São Caetano do Sul-SP, locado para o Grupo entre outros imóveis que perfazem 160% do saldo devedor.</t>
  </si>
  <si>
    <t>AF, FR e Fiança</t>
  </si>
  <si>
    <t>CRI baseado em uma carteira de recebíveis de financiamentos garantidos por imóveis residenciais, originada pelas construtoras e incorporadoras Helbor, Setin e Ekko e pela Faria Lima Capital. A parcela adquirida tem natureza sênior na estrutura de subordinação da operação.</t>
  </si>
  <si>
    <t>AF, FD e Subordinação</t>
  </si>
  <si>
    <t>CRI baseado em uma carteira de recebíveis de empréstimos garantidos por imóveis residenciais (“Home Equity”), originada pela Pontte. A carteira que lastreia o CRI é muito diversificada e com LTV baixo (~40%). A parcela adquirida tem natureza sênior na estrutura de subordinação da operação.</t>
  </si>
  <si>
    <t>AF, FR, FD e Subordinação</t>
  </si>
  <si>
    <t>CRI baseado em uma carteira de recebíveis de empréstimos garantidos por imóveis residenciais (“Home Equity”), originada pela Wimo. A carteira que lastreia o CRI é muito diversificada e com LTV baixo (~30%). A parcela adquirida tem natureza sênior na estrutura de subordinação da operação.</t>
  </si>
  <si>
    <t xml:space="preserve">CRI baseado em projeto residencial em desenvolvimento localizado em Nova Lima-MG. </t>
  </si>
  <si>
    <t>CRI baseado em uma carteira de recebíveis de empréstimos garantidos por imóveis residenciais (“Home Equity”), originada pela Creditas. A carteira que lastreia o CRI é muito diversificada e com LTV baixo (~40%). A parcela adquirida tem natureza sênior na estrutura de subordinação da operação.</t>
  </si>
  <si>
    <t xml:space="preserve">CRI baseado em 2 projetos residenciais em desenvolvimento localizados em Blumenau e Porto Belo-SC. </t>
  </si>
  <si>
    <t>23J2272828</t>
  </si>
  <si>
    <t>PHV</t>
  </si>
  <si>
    <t>21L0355069</t>
  </si>
  <si>
    <t xml:space="preserve">CRI baseado em projeto residencial em desenvolvimento localizado em Belo Horizonte-MG. </t>
  </si>
  <si>
    <t>24L1567363</t>
  </si>
  <si>
    <t>DUE</t>
  </si>
  <si>
    <t>CRI baseado em projeto residencial em desenvolvimento localizado em Tamandaré-PE.</t>
  </si>
  <si>
    <t>EQI Recebíveis Imobiliários 2025</t>
  </si>
  <si>
    <t>25C3605714</t>
  </si>
  <si>
    <t>Lotus II</t>
  </si>
  <si>
    <t>24L2720216</t>
  </si>
  <si>
    <t>Gt Urbanismo</t>
  </si>
  <si>
    <t>Pré</t>
  </si>
  <si>
    <t>20J0837185</t>
  </si>
  <si>
    <t>Creditas</t>
  </si>
  <si>
    <t>Vert</t>
  </si>
  <si>
    <t>23D1293668</t>
  </si>
  <si>
    <t>MS Incorporadora</t>
  </si>
  <si>
    <t xml:space="preserve">Operação com risco de crédito da construtora e incorporadora Lotus baseado na conta vinculada do BRB para o Lotus Tower </t>
  </si>
  <si>
    <t>CRI baseado em 3 loteamentos, sendo um em Goiânia e dois em Cuiabá.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</si>
</sst>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0_ ;\-#,##0.00\ "/>
    <numFmt numFmtId="165" formatCode="0.0%"/>
    <numFmt numFmtId="166" formatCode="_(* #,##0.00_);_(* \(#,##0.00\);_(* &quot;-&quot;??_);_(@_)"/>
    <numFmt numFmtId="167" formatCode="#,##0_ ;\-#,##0\ "/>
    <numFmt numFmtId="168" formatCode="[$-416]mmm\-yy;@"/>
    <numFmt numFmtId="169" formatCode="_(* #,##0_);_(* \(#,##0\);_(* &quot;-&quot;??_);_(@_)"/>
    <numFmt numFmtId="170" formatCode="0.000"/>
    <numFmt numFmtId="171" formatCode="mmm\-yy"/>
    <numFmt numFmtId="172" formatCode="#,##0.0"/>
    <numFmt numFmtId="173" formatCode="0.0000"/>
    <numFmt numFmtId="174" formatCode="_-* #,##0.0_-;\-* #,##0.0_-;_-* &quot;-&quot;??_-;_-@_-"/>
  </numFmts>
  <fonts count="31">
    <font>
      <sz val="11"/>
      <color theme="1"/>
      <name val="Aptos Narrow"/>
      <family val="2"/>
      <scheme val="minor"/>
    </font>
    <font>
      <sz val="11"/>
      <color theme="1"/>
      <name val="Aptos Narrow"/>
      <family val="2"/>
      <scheme val="minor"/>
    </font>
    <font>
      <sz val="11"/>
      <color theme="1"/>
      <name val="Compasse"/>
      <family val="2"/>
    </font>
    <font>
      <sz val="12"/>
      <color rgb="FF6D6E70"/>
      <name val="Compasse"/>
      <family val="2"/>
    </font>
    <font>
      <b/>
      <sz val="12"/>
      <color theme="2" tint="-0.749992370372631"/>
      <name val="Compasse"/>
      <family val="2"/>
    </font>
    <font>
      <sz val="10"/>
      <color theme="1"/>
      <name val="Compasse"/>
      <family val="2"/>
    </font>
    <font>
      <sz val="14"/>
      <color rgb="FF0A4263"/>
      <name val="Compasse"/>
      <family val="2"/>
    </font>
    <font>
      <b/>
      <sz val="12"/>
      <color rgb="FF6D6E70"/>
      <name val="Compasse"/>
      <family val="2"/>
    </font>
    <font>
      <b/>
      <sz val="12"/>
      <color rgb="FF0A4263"/>
      <name val="Compasse"/>
      <family val="2"/>
    </font>
    <font>
      <b/>
      <sz val="16"/>
      <color rgb="FF0A4263"/>
      <name val="Compasse"/>
      <family val="2"/>
    </font>
    <font>
      <sz val="10"/>
      <name val="Arial"/>
      <family val="2"/>
    </font>
    <font>
      <sz val="10"/>
      <color theme="1"/>
      <name val="Aptos Narrow"/>
      <family val="2"/>
      <scheme val="minor"/>
    </font>
    <font>
      <sz val="10"/>
      <color rgb="FF004263"/>
      <name val="Compasse Light"/>
      <family val="2"/>
    </font>
    <font>
      <b/>
      <sz val="10"/>
      <color rgb="FF474644"/>
      <name val="Compasse"/>
      <family val="2"/>
    </font>
    <font>
      <b/>
      <sz val="12"/>
      <color theme="0"/>
      <name val="Compasse"/>
      <family val="2"/>
    </font>
    <font>
      <sz val="12"/>
      <color theme="1"/>
      <name val="Aptos Narrow"/>
      <family val="2"/>
      <scheme val="minor"/>
    </font>
    <font>
      <sz val="11"/>
      <color theme="0"/>
      <name val="Aptos Narrow"/>
      <family val="2"/>
      <scheme val="minor"/>
    </font>
    <font>
      <b/>
      <sz val="9"/>
      <color rgb="FFFFFFFF"/>
      <name val="Compasse"/>
    </font>
    <font>
      <sz val="9"/>
      <color rgb="FF635C56"/>
      <name val="Compasse"/>
    </font>
    <font>
      <b/>
      <sz val="10"/>
      <color rgb="FF404040"/>
      <name val="Compasse"/>
      <family val="2"/>
    </font>
    <font>
      <sz val="10"/>
      <color rgb="FF404040"/>
      <name val="Compasse Light"/>
      <family val="2"/>
    </font>
    <font>
      <b/>
      <sz val="10"/>
      <color rgb="FF0A4263"/>
      <name val="Compasse"/>
      <family val="2"/>
    </font>
    <font>
      <sz val="11"/>
      <color rgb="FFFF0000"/>
      <name val="Compasse"/>
      <family val="2"/>
    </font>
    <font>
      <sz val="11"/>
      <name val="Aptos Narrow"/>
      <family val="2"/>
      <scheme val="minor"/>
    </font>
    <font>
      <sz val="11"/>
      <name val="Segoe UI"/>
      <family val="2"/>
    </font>
    <font>
      <sz val="11"/>
      <color rgb="FFFF0000"/>
      <name val="Aptos Narrow"/>
      <family val="2"/>
      <scheme val="minor"/>
    </font>
    <font>
      <sz val="11"/>
      <color rgb="FFFF0000"/>
      <name val="Segoe UI"/>
      <family val="2"/>
    </font>
    <font>
      <sz val="9"/>
      <color rgb="FF635C56"/>
      <name val="Segoe UI"/>
    </font>
    <font>
      <sz val="12"/>
      <color rgb="FFFF0000"/>
      <name val="Segoe UI"/>
      <family val="2"/>
    </font>
    <font>
      <b/>
      <sz val="12"/>
      <color rgb="FFFF0000"/>
      <name val="Segoe UI"/>
      <family val="2"/>
    </font>
    <font>
      <sz val="9"/>
      <color rgb="FFFF0000"/>
      <name val="Segoe UI"/>
      <family val="2"/>
    </font>
  </fonts>
  <fills count="5">
    <fill>
      <patternFill patternType="none"/>
    </fill>
    <fill>
      <patternFill patternType="gray125"/>
    </fill>
    <fill>
      <patternFill patternType="solid">
        <fgColor rgb="FF003768"/>
        <bgColor indexed="64"/>
      </patternFill>
    </fill>
    <fill>
      <patternFill patternType="solid">
        <fgColor rgb="FFF2F2F2"/>
        <bgColor indexed="64"/>
      </patternFill>
    </fill>
    <fill>
      <patternFill patternType="solid">
        <fgColor rgb="FF004263"/>
        <bgColor indexed="64"/>
      </patternFill>
    </fill>
  </fills>
  <borders count="5">
    <border>
      <left/>
      <right/>
      <top/>
      <bottom/>
      <diagonal/>
    </border>
    <border>
      <left/>
      <right/>
      <top style="dashed">
        <color theme="0" tint="-0.24994659260841701"/>
      </top>
      <bottom style="dashed">
        <color theme="0" tint="-0.24994659260841701"/>
      </bottom>
      <diagonal/>
    </border>
    <border>
      <left/>
      <right/>
      <top/>
      <bottom style="dashed">
        <color theme="0" tint="-0.24994659260841701"/>
      </bottom>
      <diagonal/>
    </border>
    <border>
      <left/>
      <right/>
      <top/>
      <bottom style="dashed">
        <color rgb="FFBFBFBF"/>
      </bottom>
      <diagonal/>
    </border>
    <border>
      <left/>
      <right/>
      <top style="dashed">
        <color rgb="FFBFBFBF"/>
      </top>
      <bottom style="dashed">
        <color rgb="FFBFBFBF"/>
      </bottom>
      <diagonal/>
    </border>
  </borders>
  <cellStyleXfs count="6">
    <xf numFmtId="0" fontId="0" fillId="0" borderId="0"/>
    <xf numFmtId="9" fontId="1" fillId="0" borderId="0" applyFont="0" applyFill="0" applyBorder="0" applyAlignment="0" applyProtection="0"/>
    <xf numFmtId="166" fontId="10" fillId="0" borderId="0" applyFont="0" applyFill="0" applyBorder="0" applyAlignment="0" applyProtection="0"/>
    <xf numFmtId="0" fontId="10" fillId="0" borderId="0"/>
    <xf numFmtId="0" fontId="10" fillId="0" borderId="0"/>
    <xf numFmtId="43" fontId="1" fillId="0" borderId="0" applyFont="0" applyFill="0" applyBorder="0" applyAlignment="0" applyProtection="0"/>
  </cellStyleXfs>
  <cellXfs count="85">
    <xf numFmtId="0" fontId="0" fillId="0" borderId="0" xfId="0"/>
    <xf numFmtId="0" fontId="2" fillId="0" borderId="0" xfId="0" applyFont="1"/>
    <xf numFmtId="0" fontId="3" fillId="0" borderId="0" xfId="0" applyFont="1"/>
    <xf numFmtId="0" fontId="4" fillId="0" borderId="0" xfId="0" applyFont="1"/>
    <xf numFmtId="164" fontId="5" fillId="0" borderId="0" xfId="0" applyNumberFormat="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6" fillId="0" borderId="0" xfId="0" applyFont="1"/>
    <xf numFmtId="0" fontId="2" fillId="0" borderId="0" xfId="0" applyFont="1" applyAlignment="1">
      <alignment horizontal="left"/>
    </xf>
    <xf numFmtId="0" fontId="0" fillId="0" borderId="0" xfId="0" applyAlignment="1">
      <alignment horizontal="left"/>
    </xf>
    <xf numFmtId="0" fontId="8" fillId="0" borderId="0" xfId="0" applyFont="1"/>
    <xf numFmtId="0" fontId="9" fillId="0" borderId="0" xfId="0" applyFont="1"/>
    <xf numFmtId="164" fontId="11" fillId="0" borderId="0" xfId="0" applyNumberFormat="1" applyFont="1" applyAlignment="1">
      <alignment horizontal="center" vertical="center"/>
    </xf>
    <xf numFmtId="169" fontId="12" fillId="0" borderId="0" xfId="2" applyNumberFormat="1" applyFont="1" applyAlignment="1">
      <alignment horizontal="center" vertical="center"/>
    </xf>
    <xf numFmtId="164" fontId="13" fillId="0" borderId="0" xfId="2" applyNumberFormat="1" applyFont="1" applyAlignment="1">
      <alignment horizontal="center" vertical="center"/>
    </xf>
    <xf numFmtId="164" fontId="13" fillId="0" borderId="0" xfId="3" applyNumberFormat="1" applyFont="1" applyAlignment="1">
      <alignment horizontal="center" vertical="center"/>
    </xf>
    <xf numFmtId="164" fontId="13" fillId="0" borderId="0" xfId="3" applyNumberFormat="1" applyFont="1" applyAlignment="1">
      <alignment horizontal="left" vertical="center" indent="1"/>
    </xf>
    <xf numFmtId="1" fontId="14" fillId="4" borderId="0" xfId="4" quotePrefix="1" applyNumberFormat="1" applyFont="1" applyFill="1" applyAlignment="1">
      <alignment horizontal="center" vertical="center"/>
    </xf>
    <xf numFmtId="164" fontId="15" fillId="0" borderId="0" xfId="0" applyNumberFormat="1" applyFont="1" applyAlignment="1">
      <alignment horizontal="center" vertical="center"/>
    </xf>
    <xf numFmtId="171" fontId="14" fillId="4" borderId="0" xfId="4" quotePrefix="1" applyNumberFormat="1" applyFont="1" applyFill="1" applyAlignment="1">
      <alignment horizontal="center" vertical="center"/>
    </xf>
    <xf numFmtId="164" fontId="14" fillId="4" borderId="0" xfId="3" applyNumberFormat="1" applyFont="1" applyFill="1" applyAlignment="1">
      <alignment horizontal="center" vertical="center"/>
    </xf>
    <xf numFmtId="164" fontId="14" fillId="4" borderId="0" xfId="3" applyNumberFormat="1" applyFont="1" applyFill="1" applyAlignment="1">
      <alignment horizontal="left" vertical="center" indent="1"/>
    </xf>
    <xf numFmtId="0" fontId="16" fillId="0" borderId="0" xfId="0" applyFont="1"/>
    <xf numFmtId="0" fontId="17" fillId="2" borderId="0" xfId="0" applyFont="1" applyFill="1" applyAlignment="1">
      <alignment horizontal="center" vertical="center" wrapText="1" readingOrder="1"/>
    </xf>
    <xf numFmtId="3" fontId="17" fillId="2" borderId="0" xfId="0" applyNumberFormat="1" applyFont="1" applyFill="1" applyAlignment="1">
      <alignment horizontal="center" vertical="center" wrapText="1" readingOrder="1"/>
    </xf>
    <xf numFmtId="0" fontId="18" fillId="0" borderId="2" xfId="0" applyFont="1" applyBorder="1" applyAlignment="1">
      <alignment horizontal="center" vertical="center" wrapText="1" readingOrder="1"/>
    </xf>
    <xf numFmtId="3" fontId="18" fillId="0" borderId="2" xfId="0" applyNumberFormat="1" applyFont="1" applyBorder="1" applyAlignment="1">
      <alignment horizontal="center" vertical="center" wrapText="1" readingOrder="1"/>
    </xf>
    <xf numFmtId="165" fontId="18" fillId="0" borderId="2" xfId="1" applyNumberFormat="1" applyFont="1" applyBorder="1" applyAlignment="1">
      <alignment horizontal="center" vertical="center" wrapText="1" readingOrder="1"/>
    </xf>
    <xf numFmtId="9" fontId="18" fillId="0" borderId="2" xfId="1" applyFont="1" applyBorder="1" applyAlignment="1">
      <alignment horizontal="center" vertical="center" wrapText="1" readingOrder="1"/>
    </xf>
    <xf numFmtId="168" fontId="18" fillId="0" borderId="2" xfId="1" applyNumberFormat="1" applyFont="1" applyBorder="1" applyAlignment="1">
      <alignment horizontal="center" vertical="center" wrapText="1" readingOrder="1"/>
    </xf>
    <xf numFmtId="0" fontId="18" fillId="0" borderId="1" xfId="0" applyFont="1" applyBorder="1" applyAlignment="1">
      <alignment horizontal="center" vertical="center" wrapText="1" readingOrder="1"/>
    </xf>
    <xf numFmtId="10" fontId="17" fillId="2" borderId="0" xfId="1" applyNumberFormat="1" applyFont="1" applyFill="1" applyAlignment="1">
      <alignment horizontal="center" vertical="center" wrapText="1" readingOrder="1"/>
    </xf>
    <xf numFmtId="165" fontId="17" fillId="2" borderId="0" xfId="0" applyNumberFormat="1" applyFont="1" applyFill="1" applyAlignment="1">
      <alignment horizontal="center" vertical="center" wrapText="1" readingOrder="1"/>
    </xf>
    <xf numFmtId="9" fontId="17" fillId="2" borderId="0" xfId="0" applyNumberFormat="1" applyFont="1" applyFill="1" applyAlignment="1">
      <alignment horizontal="center" vertical="center" wrapText="1" readingOrder="1"/>
    </xf>
    <xf numFmtId="168" fontId="17" fillId="2" borderId="0" xfId="0" applyNumberFormat="1" applyFont="1" applyFill="1" applyAlignment="1">
      <alignment horizontal="center" vertical="center" wrapText="1" readingOrder="1"/>
    </xf>
    <xf numFmtId="0" fontId="19" fillId="3" borderId="0" xfId="0" applyFont="1" applyFill="1" applyAlignment="1">
      <alignment vertical="center"/>
    </xf>
    <xf numFmtId="3" fontId="19" fillId="3" borderId="0" xfId="0" applyNumberFormat="1" applyFont="1" applyFill="1" applyAlignment="1">
      <alignment horizontal="center" vertical="center"/>
    </xf>
    <xf numFmtId="0" fontId="20" fillId="0" borderId="0" xfId="0" applyFont="1" applyAlignment="1">
      <alignment horizontal="left" vertical="center" indent="1"/>
    </xf>
    <xf numFmtId="3" fontId="20" fillId="0" borderId="0" xfId="0" applyNumberFormat="1" applyFont="1" applyAlignment="1">
      <alignment horizontal="center" vertical="center"/>
    </xf>
    <xf numFmtId="0" fontId="19" fillId="0" borderId="0" xfId="0" applyFont="1" applyAlignment="1">
      <alignment vertical="center"/>
    </xf>
    <xf numFmtId="3" fontId="19" fillId="0" borderId="0" xfId="0" applyNumberFormat="1" applyFont="1" applyAlignment="1">
      <alignment horizontal="center" vertical="center"/>
    </xf>
    <xf numFmtId="0" fontId="21" fillId="3" borderId="0" xfId="0" applyFont="1" applyFill="1" applyAlignment="1">
      <alignment vertical="center"/>
    </xf>
    <xf numFmtId="170" fontId="21" fillId="3" borderId="0" xfId="0" applyNumberFormat="1" applyFont="1" applyFill="1" applyAlignment="1">
      <alignment horizontal="center" vertical="center"/>
    </xf>
    <xf numFmtId="2" fontId="21" fillId="3" borderId="0" xfId="0" applyNumberFormat="1" applyFont="1" applyFill="1" applyAlignment="1">
      <alignment horizontal="center" vertical="center"/>
    </xf>
    <xf numFmtId="4" fontId="21" fillId="3" borderId="0" xfId="0" applyNumberFormat="1" applyFont="1" applyFill="1" applyAlignment="1">
      <alignment horizontal="center" vertical="center"/>
    </xf>
    <xf numFmtId="43" fontId="5" fillId="0" borderId="0" xfId="5" applyFont="1" applyAlignment="1">
      <alignment horizontal="center" vertical="center"/>
    </xf>
    <xf numFmtId="172" fontId="18" fillId="0" borderId="2" xfId="1" applyNumberFormat="1" applyFont="1" applyBorder="1" applyAlignment="1">
      <alignment horizontal="center" vertical="center" wrapText="1" readingOrder="1"/>
    </xf>
    <xf numFmtId="172" fontId="17" fillId="2" borderId="0" xfId="0" applyNumberFormat="1" applyFont="1" applyFill="1" applyAlignment="1">
      <alignment horizontal="center" vertical="center" wrapText="1" readingOrder="1"/>
    </xf>
    <xf numFmtId="43" fontId="2" fillId="0" borderId="0" xfId="5" applyFont="1"/>
    <xf numFmtId="173" fontId="21" fillId="3" borderId="0" xfId="0" applyNumberFormat="1" applyFont="1" applyFill="1" applyAlignment="1">
      <alignment horizontal="center" vertical="center"/>
    </xf>
    <xf numFmtId="174" fontId="2" fillId="0" borderId="0" xfId="0" applyNumberFormat="1" applyFont="1"/>
    <xf numFmtId="0" fontId="22" fillId="0" borderId="0" xfId="0" applyFont="1"/>
    <xf numFmtId="0" fontId="23" fillId="0" borderId="0" xfId="0" applyFont="1"/>
    <xf numFmtId="0" fontId="24" fillId="0" borderId="0" xfId="0" applyFont="1" applyAlignment="1">
      <alignment horizontal="center"/>
    </xf>
    <xf numFmtId="165" fontId="17" fillId="2" borderId="0" xfId="1" applyNumberFormat="1" applyFont="1" applyFill="1" applyAlignment="1">
      <alignment horizontal="center" vertical="center" wrapText="1" readingOrder="1"/>
    </xf>
    <xf numFmtId="0" fontId="25" fillId="0" borderId="0" xfId="0" applyFont="1"/>
    <xf numFmtId="0" fontId="26" fillId="0" borderId="0" xfId="0" applyFont="1" applyAlignment="1">
      <alignment horizontal="center"/>
    </xf>
    <xf numFmtId="11" fontId="18" fillId="0" borderId="1" xfId="0" applyNumberFormat="1" applyFont="1" applyBorder="1" applyAlignment="1">
      <alignment horizontal="center" vertical="center" wrapText="1" readingOrder="1"/>
    </xf>
    <xf numFmtId="0" fontId="27" fillId="0" borderId="3" xfId="0" applyFont="1" applyBorder="1" applyAlignment="1">
      <alignment horizontal="center" vertical="center" wrapText="1" readingOrder="1"/>
    </xf>
    <xf numFmtId="10" fontId="27" fillId="0" borderId="3" xfId="0" applyNumberFormat="1" applyFont="1" applyBorder="1" applyAlignment="1">
      <alignment horizontal="center" vertical="center" wrapText="1" readingOrder="1"/>
    </xf>
    <xf numFmtId="3" fontId="27" fillId="0" borderId="3" xfId="0" applyNumberFormat="1" applyFont="1" applyBorder="1" applyAlignment="1">
      <alignment horizontal="center" vertical="center" wrapText="1" readingOrder="1"/>
    </xf>
    <xf numFmtId="0" fontId="27" fillId="0" borderId="4" xfId="0" applyFont="1" applyBorder="1" applyAlignment="1">
      <alignment horizontal="center" vertical="center" wrapText="1" readingOrder="1"/>
    </xf>
    <xf numFmtId="10" fontId="27" fillId="0" borderId="4" xfId="0" applyNumberFormat="1" applyFont="1" applyBorder="1" applyAlignment="1">
      <alignment horizontal="center" vertical="center" wrapText="1" readingOrder="1"/>
    </xf>
    <xf numFmtId="3" fontId="27" fillId="0" borderId="4" xfId="0" applyNumberFormat="1" applyFont="1" applyBorder="1" applyAlignment="1">
      <alignment horizontal="center" vertical="center" wrapText="1" readingOrder="1"/>
    </xf>
    <xf numFmtId="0" fontId="3" fillId="0" borderId="0" xfId="0" applyFont="1" applyAlignment="1">
      <alignment horizontal="left" vertical="center" wrapText="1"/>
    </xf>
    <xf numFmtId="0" fontId="0" fillId="0" borderId="0" xfId="0" applyFill="1"/>
    <xf numFmtId="0" fontId="18" fillId="0" borderId="1" xfId="0" applyFont="1" applyFill="1" applyBorder="1" applyAlignment="1">
      <alignment horizontal="center" vertical="center" wrapText="1" readingOrder="1"/>
    </xf>
    <xf numFmtId="0" fontId="27" fillId="0" borderId="3" xfId="0" applyFont="1" applyFill="1" applyBorder="1" applyAlignment="1">
      <alignment horizontal="center" vertical="center" wrapText="1" readingOrder="1"/>
    </xf>
    <xf numFmtId="10" fontId="27" fillId="0" borderId="3" xfId="0" applyNumberFormat="1" applyFont="1" applyFill="1" applyBorder="1" applyAlignment="1">
      <alignment horizontal="center" vertical="center" wrapText="1" readingOrder="1"/>
    </xf>
    <xf numFmtId="3" fontId="18" fillId="0" borderId="2" xfId="0" applyNumberFormat="1" applyFont="1" applyFill="1" applyBorder="1" applyAlignment="1">
      <alignment horizontal="center" vertical="center" wrapText="1" readingOrder="1"/>
    </xf>
    <xf numFmtId="165" fontId="18" fillId="0" borderId="2" xfId="1" applyNumberFormat="1" applyFont="1" applyFill="1" applyBorder="1" applyAlignment="1">
      <alignment horizontal="center" vertical="center" wrapText="1" readingOrder="1"/>
    </xf>
    <xf numFmtId="172" fontId="18" fillId="0" borderId="2" xfId="1" applyNumberFormat="1" applyFont="1" applyFill="1" applyBorder="1" applyAlignment="1">
      <alignment horizontal="center" vertical="center" wrapText="1" readingOrder="1"/>
    </xf>
    <xf numFmtId="9" fontId="18" fillId="0" borderId="2" xfId="1" applyFont="1" applyFill="1" applyBorder="1" applyAlignment="1">
      <alignment horizontal="center" vertical="center" wrapText="1" readingOrder="1"/>
    </xf>
    <xf numFmtId="168" fontId="18" fillId="0" borderId="2" xfId="1" applyNumberFormat="1" applyFont="1" applyFill="1" applyBorder="1" applyAlignment="1">
      <alignment horizontal="center" vertical="center" wrapText="1" readingOrder="1"/>
    </xf>
    <xf numFmtId="9" fontId="18" fillId="0" borderId="2" xfId="1" applyNumberFormat="1" applyFont="1" applyFill="1" applyBorder="1" applyAlignment="1">
      <alignment horizontal="center" vertical="center" wrapText="1" readingOrder="1"/>
    </xf>
    <xf numFmtId="165" fontId="28" fillId="0" borderId="0" xfId="1" applyNumberFormat="1" applyFont="1" applyAlignment="1">
      <alignment horizontal="center" vertical="center"/>
    </xf>
    <xf numFmtId="0" fontId="26" fillId="0" borderId="0" xfId="0" applyFont="1"/>
    <xf numFmtId="0" fontId="28" fillId="0" borderId="0" xfId="0" applyFont="1" applyAlignment="1">
      <alignment horizontal="center" vertical="center" wrapText="1" readingOrder="1"/>
    </xf>
    <xf numFmtId="9" fontId="28" fillId="0" borderId="0" xfId="1" applyFont="1" applyAlignment="1">
      <alignment horizontal="center"/>
    </xf>
    <xf numFmtId="165" fontId="25" fillId="0" borderId="0" xfId="1" applyNumberFormat="1" applyFont="1" applyAlignment="1">
      <alignment horizontal="center"/>
    </xf>
    <xf numFmtId="164" fontId="29" fillId="0" borderId="0" xfId="3" applyNumberFormat="1" applyFont="1" applyAlignment="1">
      <alignment horizontal="center" vertical="center"/>
    </xf>
    <xf numFmtId="167" fontId="29" fillId="0" borderId="0" xfId="2" applyNumberFormat="1" applyFont="1" applyBorder="1" applyAlignment="1">
      <alignment horizontal="center" vertical="center"/>
    </xf>
    <xf numFmtId="167" fontId="29" fillId="0" borderId="0" xfId="2" applyNumberFormat="1" applyFont="1" applyFill="1" applyBorder="1" applyAlignment="1">
      <alignment horizontal="center" vertical="center"/>
    </xf>
    <xf numFmtId="0" fontId="30" fillId="0" borderId="0" xfId="0" applyFont="1" applyAlignment="1">
      <alignment horizontal="center" vertical="center" wrapText="1" readingOrder="1"/>
    </xf>
    <xf numFmtId="0" fontId="28" fillId="0" borderId="0" xfId="0" applyFont="1" applyAlignment="1">
      <alignment horizontal="center"/>
    </xf>
  </cellXfs>
  <cellStyles count="6">
    <cellStyle name="Normal" xfId="0" builtinId="0"/>
    <cellStyle name="Normal 3" xfId="3" xr:uid="{66839948-7993-4FC5-97C1-1A82E0FC9E2B}"/>
    <cellStyle name="Normal_Projetos_2tri05" xfId="4" xr:uid="{8C2008AF-8F41-4589-963F-6A7D85AEFC0D}"/>
    <cellStyle name="Porcentagem" xfId="1" builtinId="5"/>
    <cellStyle name="Vírgula" xfId="5" builtinId="3"/>
    <cellStyle name="Vírgula 2" xfId="2" xr:uid="{8A39941F-757F-4BC8-880D-EB5E3FFD20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0/07/relationships/rdRichValueWebImage" Target="richData/rdRichValueWebImage.xml"/><Relationship Id="rId13" Type="http://schemas.microsoft.com/office/2017/06/relationships/rdSupportingPropertyBagStructure" Target="richData/rdsupportingpropertybagstructure.xml"/><Relationship Id="rId3" Type="http://schemas.openxmlformats.org/officeDocument/2006/relationships/worksheet" Target="worksheets/sheet3.xml"/><Relationship Id="rId7" Type="http://schemas.openxmlformats.org/officeDocument/2006/relationships/sheetMetadata" Target="metadata.xml"/><Relationship Id="rId12" Type="http://schemas.microsoft.com/office/2017/06/relationships/richStyles" Target="richData/richStyles.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Array" Target="richData/rdarray.xml"/><Relationship Id="rId5" Type="http://schemas.openxmlformats.org/officeDocument/2006/relationships/styles" Target="styles.xml"/><Relationship Id="rId15" Type="http://schemas.microsoft.com/office/2017/06/relationships/rdRichValueTypes" Target="richData/rdRichValueTyp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microsoft.com/office/2017/06/relationships/rdSupportingPropertyBag" Target="richData/rdsupportingpropertybag.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pt-BR"/>
              <a:t>% dos CRIs por Vencimento e Duration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pt-BR"/>
        </a:p>
      </c:txPr>
    </c:title>
    <c:autoTitleDeleted val="0"/>
    <c:plotArea>
      <c:layout/>
      <c:barChart>
        <c:barDir val="col"/>
        <c:grouping val="clustered"/>
        <c:varyColors val="0"/>
        <c:ser>
          <c:idx val="0"/>
          <c:order val="0"/>
          <c:tx>
            <c:strRef>
              <c:f>Portfólio!$C$134</c:f>
              <c:strCache>
                <c:ptCount val="1"/>
                <c:pt idx="0">
                  <c:v>Vencimento</c:v>
                </c:pt>
              </c:strCache>
            </c:strRef>
          </c:tx>
          <c:spPr>
            <a:solidFill>
              <a:srgbClr val="1D86B5"/>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Portfólio!$B$135:$B$143</c:f>
              <c:strCache>
                <c:ptCount val="9"/>
                <c:pt idx="0">
                  <c:v>2025</c:v>
                </c:pt>
                <c:pt idx="1">
                  <c:v>2026</c:v>
                </c:pt>
                <c:pt idx="2">
                  <c:v>2027</c:v>
                </c:pt>
                <c:pt idx="3">
                  <c:v>2028</c:v>
                </c:pt>
                <c:pt idx="4">
                  <c:v>2029</c:v>
                </c:pt>
                <c:pt idx="5">
                  <c:v>2030</c:v>
                </c:pt>
                <c:pt idx="6">
                  <c:v>2031</c:v>
                </c:pt>
                <c:pt idx="7">
                  <c:v>2032</c:v>
                </c:pt>
                <c:pt idx="8">
                  <c:v>2033+</c:v>
                </c:pt>
              </c:strCache>
            </c:strRef>
          </c:cat>
          <c:val>
            <c:numRef>
              <c:f>Portfólio!$C$135:$C$143</c:f>
              <c:numCache>
                <c:formatCode>0%</c:formatCode>
                <c:ptCount val="9"/>
                <c:pt idx="0">
                  <c:v>0</c:v>
                </c:pt>
                <c:pt idx="1">
                  <c:v>8.8235294117647065E-2</c:v>
                </c:pt>
                <c:pt idx="2">
                  <c:v>5.8823529411764705E-2</c:v>
                </c:pt>
                <c:pt idx="3">
                  <c:v>0.11764705882352941</c:v>
                </c:pt>
                <c:pt idx="4">
                  <c:v>0</c:v>
                </c:pt>
                <c:pt idx="5">
                  <c:v>2.9411764705882353E-2</c:v>
                </c:pt>
                <c:pt idx="6">
                  <c:v>0.14705882352941177</c:v>
                </c:pt>
                <c:pt idx="7">
                  <c:v>8.8235294117647065E-2</c:v>
                </c:pt>
                <c:pt idx="8">
                  <c:v>0.47058823529411764</c:v>
                </c:pt>
              </c:numCache>
            </c:numRef>
          </c:val>
          <c:extLst>
            <c:ext xmlns:c16="http://schemas.microsoft.com/office/drawing/2014/chart" uri="{C3380CC4-5D6E-409C-BE32-E72D297353CC}">
              <c16:uniqueId val="{00000000-37A4-476B-BEC7-84F7A98D7414}"/>
            </c:ext>
          </c:extLst>
        </c:ser>
        <c:ser>
          <c:idx val="1"/>
          <c:order val="1"/>
          <c:tx>
            <c:strRef>
              <c:f>Portfólio!$D$134</c:f>
              <c:strCache>
                <c:ptCount val="1"/>
                <c:pt idx="0">
                  <c:v>Duration</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Portfólio!$B$135:$B$143</c:f>
              <c:strCache>
                <c:ptCount val="9"/>
                <c:pt idx="0">
                  <c:v>2025</c:v>
                </c:pt>
                <c:pt idx="1">
                  <c:v>2026</c:v>
                </c:pt>
                <c:pt idx="2">
                  <c:v>2027</c:v>
                </c:pt>
                <c:pt idx="3">
                  <c:v>2028</c:v>
                </c:pt>
                <c:pt idx="4">
                  <c:v>2029</c:v>
                </c:pt>
                <c:pt idx="5">
                  <c:v>2030</c:v>
                </c:pt>
                <c:pt idx="6">
                  <c:v>2031</c:v>
                </c:pt>
                <c:pt idx="7">
                  <c:v>2032</c:v>
                </c:pt>
                <c:pt idx="8">
                  <c:v>2033+</c:v>
                </c:pt>
              </c:strCache>
            </c:strRef>
          </c:cat>
          <c:val>
            <c:numRef>
              <c:f>Portfólio!$D$135:$D$143</c:f>
              <c:numCache>
                <c:formatCode>0%</c:formatCode>
                <c:ptCount val="9"/>
                <c:pt idx="0">
                  <c:v>0</c:v>
                </c:pt>
                <c:pt idx="1">
                  <c:v>0.125</c:v>
                </c:pt>
                <c:pt idx="2">
                  <c:v>0.1875</c:v>
                </c:pt>
                <c:pt idx="3">
                  <c:v>0.40625</c:v>
                </c:pt>
                <c:pt idx="4">
                  <c:v>0.125</c:v>
                </c:pt>
                <c:pt idx="5">
                  <c:v>6.25E-2</c:v>
                </c:pt>
                <c:pt idx="6">
                  <c:v>0.125</c:v>
                </c:pt>
                <c:pt idx="7">
                  <c:v>3.125E-2</c:v>
                </c:pt>
                <c:pt idx="8">
                  <c:v>0</c:v>
                </c:pt>
              </c:numCache>
            </c:numRef>
          </c:val>
          <c:extLst>
            <c:ext xmlns:c16="http://schemas.microsoft.com/office/drawing/2014/chart" uri="{C3380CC4-5D6E-409C-BE32-E72D297353CC}">
              <c16:uniqueId val="{00000001-37A4-476B-BEC7-84F7A98D7414}"/>
            </c:ext>
          </c:extLst>
        </c:ser>
        <c:dLbls>
          <c:showLegendKey val="0"/>
          <c:showVal val="0"/>
          <c:showCatName val="0"/>
          <c:showSerName val="0"/>
          <c:showPercent val="0"/>
          <c:showBubbleSize val="0"/>
        </c:dLbls>
        <c:gapWidth val="100"/>
        <c:overlap val="-5"/>
        <c:axId val="19988112"/>
        <c:axId val="19989072"/>
      </c:barChart>
      <c:catAx>
        <c:axId val="199881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pt-BR"/>
          </a:p>
        </c:txPr>
        <c:crossAx val="19989072"/>
        <c:crosses val="autoZero"/>
        <c:auto val="1"/>
        <c:lblAlgn val="ctr"/>
        <c:lblOffset val="100"/>
        <c:tickMarkSkip val="1"/>
        <c:noMultiLvlLbl val="0"/>
      </c:catAx>
      <c:valAx>
        <c:axId val="19989072"/>
        <c:scaling>
          <c:orientation val="minMax"/>
        </c:scaling>
        <c:delete val="1"/>
        <c:axPos val="l"/>
        <c:numFmt formatCode="0%" sourceLinked="1"/>
        <c:majorTickMark val="none"/>
        <c:minorTickMark val="none"/>
        <c:tickLblPos val="nextTo"/>
        <c:crossAx val="19988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Segoe UI" panose="020B0502040204020203" pitchFamily="34" charset="0"/>
          <a:cs typeface="Segoe UI" panose="020B0502040204020203" pitchFamily="34" charset="0"/>
        </a:defRPr>
      </a:pPr>
      <a:endParaRPr lang="pt-B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pt-BR"/>
        </a:p>
      </c:txPr>
    </c:title>
    <c:autoTitleDeleted val="0"/>
    <c:plotArea>
      <c:layout>
        <c:manualLayout>
          <c:layoutTarget val="inner"/>
          <c:xMode val="edge"/>
          <c:yMode val="edge"/>
          <c:x val="0.22093569553805775"/>
          <c:y val="0.1428219494785514"/>
          <c:w val="0.59979549431321089"/>
          <c:h val="0.72175960726595878"/>
        </c:manualLayout>
      </c:layout>
      <c:pieChart>
        <c:varyColors val="1"/>
        <c:ser>
          <c:idx val="0"/>
          <c:order val="0"/>
          <c:tx>
            <c:strRef>
              <c:f>Portfólio!$K$134</c:f>
              <c:strCache>
                <c:ptCount val="1"/>
                <c:pt idx="0">
                  <c:v>Indexador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620-4B18-B2E1-7B2541AB6F79}"/>
              </c:ext>
            </c:extLst>
          </c:dPt>
          <c:dPt>
            <c:idx val="1"/>
            <c:bubble3D val="0"/>
            <c:spPr>
              <a:solidFill>
                <a:srgbClr val="1D86B5"/>
              </a:solidFill>
              <a:ln w="19050">
                <a:solidFill>
                  <a:schemeClr val="lt1"/>
                </a:solidFill>
              </a:ln>
              <a:effectLst/>
            </c:spPr>
            <c:extLst>
              <c:ext xmlns:c16="http://schemas.microsoft.com/office/drawing/2014/chart" uri="{C3380CC4-5D6E-409C-BE32-E72D297353CC}">
                <c16:uniqueId val="{00000003-3620-4B18-B2E1-7B2541AB6F79}"/>
              </c:ext>
            </c:extLst>
          </c:dPt>
          <c:dPt>
            <c:idx val="2"/>
            <c:bubble3D val="0"/>
            <c:spPr>
              <a:solidFill>
                <a:schemeClr val="accent3"/>
              </a:solidFill>
              <a:ln w="19050">
                <a:solidFill>
                  <a:schemeClr val="lt1"/>
                </a:solidFill>
              </a:ln>
              <a:effectLst/>
            </c:spPr>
          </c:dPt>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Segoe UI" panose="020B0502040204020203" pitchFamily="34" charset="0"/>
                    <a:ea typeface="+mn-ea"/>
                    <a:cs typeface="Segoe UI" panose="020B0502040204020203" pitchFamily="34" charset="0"/>
                  </a:defRPr>
                </a:pPr>
                <a:endParaRPr lang="pt-B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Portfólio!$J$135:$J$137</c:f>
              <c:strCache>
                <c:ptCount val="3"/>
                <c:pt idx="0">
                  <c:v>IPCA</c:v>
                </c:pt>
                <c:pt idx="1">
                  <c:v>CDI </c:v>
                </c:pt>
                <c:pt idx="2">
                  <c:v>Pré</c:v>
                </c:pt>
              </c:strCache>
            </c:strRef>
          </c:cat>
          <c:val>
            <c:numRef>
              <c:f>Portfólio!$K$135:$K$137</c:f>
              <c:numCache>
                <c:formatCode>0%</c:formatCode>
                <c:ptCount val="3"/>
                <c:pt idx="0">
                  <c:v>0.8331038656924743</c:v>
                </c:pt>
                <c:pt idx="1">
                  <c:v>8.6604280122838745E-2</c:v>
                </c:pt>
                <c:pt idx="2">
                  <c:v>2.4591120483126904E-2</c:v>
                </c:pt>
              </c:numCache>
            </c:numRef>
          </c:val>
          <c:extLst>
            <c:ext xmlns:c16="http://schemas.microsoft.com/office/drawing/2014/chart" uri="{C3380CC4-5D6E-409C-BE32-E72D297353CC}">
              <c16:uniqueId val="{00000004-3620-4B18-B2E1-7B2541AB6F7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Segoe UI" panose="020B0502040204020203" pitchFamily="34" charset="0"/>
          <a:cs typeface="Segoe UI" panose="020B0502040204020203" pitchFamily="34" charset="0"/>
        </a:defRPr>
      </a:pPr>
      <a:endParaRPr lang="pt-B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Segoe UI" panose="020B0502040204020203" pitchFamily="34" charset="0"/>
              <a:ea typeface="+mn-ea"/>
              <a:cs typeface="Segoe UI" panose="020B0502040204020203" pitchFamily="34" charset="0"/>
            </a:defRPr>
          </a:pPr>
          <a:endParaRPr lang="pt-BR"/>
        </a:p>
      </c:txPr>
    </c:title>
    <c:autoTitleDeleted val="0"/>
    <c:plotArea>
      <c:layout/>
      <c:barChart>
        <c:barDir val="bar"/>
        <c:grouping val="clustered"/>
        <c:varyColors val="0"/>
        <c:ser>
          <c:idx val="0"/>
          <c:order val="0"/>
          <c:tx>
            <c:strRef>
              <c:f>Portfólio!$N$134</c:f>
              <c:strCache>
                <c:ptCount val="1"/>
                <c:pt idx="0">
                  <c:v>Segmento</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Segoe UI" panose="020B0502040204020203" pitchFamily="34" charset="0"/>
                    <a:ea typeface="+mn-ea"/>
                    <a:cs typeface="Segoe UI" panose="020B0502040204020203"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Portfólio!$M$135:$M$143</c:f>
              <c:strCache>
                <c:ptCount val="8"/>
                <c:pt idx="0">
                  <c:v>Galpões Logísticos</c:v>
                </c:pt>
                <c:pt idx="1">
                  <c:v>Residencial</c:v>
                </c:pt>
                <c:pt idx="2">
                  <c:v>Corporativo</c:v>
                </c:pt>
                <c:pt idx="3">
                  <c:v>Energia</c:v>
                </c:pt>
                <c:pt idx="4">
                  <c:v>Loteamento</c:v>
                </c:pt>
                <c:pt idx="5">
                  <c:v>Outros</c:v>
                </c:pt>
                <c:pt idx="6">
                  <c:v>Home Equity</c:v>
                </c:pt>
                <c:pt idx="7">
                  <c:v>Varejo</c:v>
                </c:pt>
              </c:strCache>
            </c:strRef>
          </c:cat>
          <c:val>
            <c:numRef>
              <c:f>Portfólio!$N$135:$N$143</c:f>
              <c:numCache>
                <c:formatCode>0%</c:formatCode>
                <c:ptCount val="9"/>
                <c:pt idx="0">
                  <c:v>0.23397949806067725</c:v>
                </c:pt>
                <c:pt idx="1">
                  <c:v>0.1656406209442407</c:v>
                </c:pt>
                <c:pt idx="2">
                  <c:v>0.1898807143870174</c:v>
                </c:pt>
                <c:pt idx="3">
                  <c:v>0.1418487573087519</c:v>
                </c:pt>
                <c:pt idx="4">
                  <c:v>0.10054947277999826</c:v>
                </c:pt>
                <c:pt idx="5">
                  <c:v>4.0500478404285008E-2</c:v>
                </c:pt>
                <c:pt idx="6">
                  <c:v>3.1962563662370103E-2</c:v>
                </c:pt>
                <c:pt idx="7">
                  <c:v>3.9937160751099279E-2</c:v>
                </c:pt>
              </c:numCache>
            </c:numRef>
          </c:val>
          <c:extLst>
            <c:ext xmlns:c16="http://schemas.microsoft.com/office/drawing/2014/chart" uri="{C3380CC4-5D6E-409C-BE32-E72D297353CC}">
              <c16:uniqueId val="{00000000-94A8-42BF-9421-52C914533962}"/>
            </c:ext>
          </c:extLst>
        </c:ser>
        <c:dLbls>
          <c:showLegendKey val="0"/>
          <c:showVal val="0"/>
          <c:showCatName val="0"/>
          <c:showSerName val="0"/>
          <c:showPercent val="0"/>
          <c:showBubbleSize val="0"/>
        </c:dLbls>
        <c:gapWidth val="50"/>
        <c:axId val="1017731152"/>
        <c:axId val="1017735472"/>
      </c:barChart>
      <c:catAx>
        <c:axId val="1017731152"/>
        <c:scaling>
          <c:orientation val="maxMin"/>
        </c:scaling>
        <c:delete val="0"/>
        <c:axPos val="l"/>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Segoe UI" panose="020B0502040204020203" pitchFamily="34" charset="0"/>
                <a:ea typeface="+mn-ea"/>
                <a:cs typeface="Segoe UI" panose="020B0502040204020203" pitchFamily="34" charset="0"/>
              </a:defRPr>
            </a:pPr>
            <a:endParaRPr lang="pt-BR"/>
          </a:p>
        </c:txPr>
        <c:crossAx val="1017735472"/>
        <c:crosses val="autoZero"/>
        <c:auto val="1"/>
        <c:lblAlgn val="ctr"/>
        <c:lblOffset val="100"/>
        <c:noMultiLvlLbl val="0"/>
      </c:catAx>
      <c:valAx>
        <c:axId val="1017735472"/>
        <c:scaling>
          <c:orientation val="minMax"/>
        </c:scaling>
        <c:delete val="1"/>
        <c:axPos val="t"/>
        <c:numFmt formatCode="0%" sourceLinked="1"/>
        <c:majorTickMark val="none"/>
        <c:minorTickMark val="none"/>
        <c:tickLblPos val="nextTo"/>
        <c:crossAx val="1017731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Segoe UI" panose="020B0502040204020203" pitchFamily="34" charset="0"/>
          <a:cs typeface="Segoe UI" panose="020B0502040204020203" pitchFamily="34" charset="0"/>
        </a:defRPr>
      </a:pPr>
      <a:endParaRPr lang="pt-B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n-US"/>
              <a:t>LTV</a:t>
            </a:r>
          </a:p>
          <a:p>
            <a:pPr>
              <a:defRPr/>
            </a:pPr>
            <a:r>
              <a:rPr lang="en-US" sz="1200" baseline="0"/>
              <a:t>Médio =  51%</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pt-BR"/>
        </a:p>
      </c:txPr>
    </c:title>
    <c:autoTitleDeleted val="0"/>
    <c:plotArea>
      <c:layout/>
      <c:barChart>
        <c:barDir val="bar"/>
        <c:grouping val="clustered"/>
        <c:varyColors val="0"/>
        <c:ser>
          <c:idx val="0"/>
          <c:order val="0"/>
          <c:tx>
            <c:strRef>
              <c:f>Portfólio!$Q$134</c:f>
              <c:strCache>
                <c:ptCount val="1"/>
                <c:pt idx="0">
                  <c:v>LTV</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Portfólio!$P$135:$P$138</c:f>
              <c:strCache>
                <c:ptCount val="4"/>
                <c:pt idx="0">
                  <c:v>0% - 25%</c:v>
                </c:pt>
                <c:pt idx="1">
                  <c:v>26% - 50%</c:v>
                </c:pt>
                <c:pt idx="2">
                  <c:v>51% - 75%</c:v>
                </c:pt>
                <c:pt idx="3">
                  <c:v>76% - 100%</c:v>
                </c:pt>
              </c:strCache>
            </c:strRef>
          </c:cat>
          <c:val>
            <c:numRef>
              <c:f>Portfólio!$Q$135:$Q$138</c:f>
              <c:numCache>
                <c:formatCode>0.0%</c:formatCode>
                <c:ptCount val="4"/>
                <c:pt idx="0">
                  <c:v>0.15840733880123192</c:v>
                </c:pt>
                <c:pt idx="1">
                  <c:v>0.45514595293700177</c:v>
                </c:pt>
                <c:pt idx="2">
                  <c:v>0.29464415151636647</c:v>
                </c:pt>
                <c:pt idx="3">
                  <c:v>3.6101823043839625E-2</c:v>
                </c:pt>
              </c:numCache>
            </c:numRef>
          </c:val>
          <c:extLst>
            <c:ext xmlns:c16="http://schemas.microsoft.com/office/drawing/2014/chart" uri="{C3380CC4-5D6E-409C-BE32-E72D297353CC}">
              <c16:uniqueId val="{00000000-B805-4BAE-8E9D-E393AD35AB0E}"/>
            </c:ext>
          </c:extLst>
        </c:ser>
        <c:dLbls>
          <c:showLegendKey val="0"/>
          <c:showVal val="0"/>
          <c:showCatName val="0"/>
          <c:showSerName val="0"/>
          <c:showPercent val="0"/>
          <c:showBubbleSize val="0"/>
        </c:dLbls>
        <c:gapWidth val="50"/>
        <c:axId val="1064452560"/>
        <c:axId val="1064450160"/>
      </c:barChart>
      <c:catAx>
        <c:axId val="10644525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pt-BR"/>
          </a:p>
        </c:txPr>
        <c:crossAx val="1064450160"/>
        <c:crosses val="autoZero"/>
        <c:auto val="1"/>
        <c:lblAlgn val="ctr"/>
        <c:lblOffset val="100"/>
        <c:noMultiLvlLbl val="0"/>
      </c:catAx>
      <c:valAx>
        <c:axId val="1064450160"/>
        <c:scaling>
          <c:orientation val="minMax"/>
        </c:scaling>
        <c:delete val="1"/>
        <c:axPos val="t"/>
        <c:numFmt formatCode="0.0%" sourceLinked="1"/>
        <c:majorTickMark val="none"/>
        <c:minorTickMark val="none"/>
        <c:tickLblPos val="nextTo"/>
        <c:crossAx val="10644525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Segoe UI" panose="020B0502040204020203" pitchFamily="34" charset="0"/>
          <a:cs typeface="Segoe UI" panose="020B0502040204020203" pitchFamily="34" charset="0"/>
        </a:defRPr>
      </a:pPr>
      <a:endParaRPr lang="pt-BR"/>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11">
          <cx:pt idx="0">29821</cx:pt>
          <cx:pt idx="1"/>
          <cx:pt idx="2">37692</cx:pt>
          <cx:pt idx="3">12285</cx:pt>
          <cx:pt idx="4">29612</cx:pt>
          <cx:pt idx="5">9132</cx:pt>
          <cx:pt idx="6">20600</cx:pt>
          <cx:pt idx="7">27818</cx:pt>
          <cx:pt idx="8">27825</cx:pt>
          <cx:pt idx="9">25190</cx:pt>
          <cx:pt idx="10">25687</cx:pt>
        </cx:lvl>
      </cx:strDim>
      <cx:strDim type="cat">
        <cx:f>_xlchart.v6.1</cx:f>
        <cx:nf>_xlchart.v6.0</cx:nf>
      </cx:strDim>
      <cx:numDim type="colorVal">
        <cx:f>_xlchart.v6.2</cx:f>
        <cx:nf>_xlchart.v6.3</cx:nf>
      </cx:numDim>
    </cx:data>
  </cx:chartData>
  <cx:chart>
    <cx:title pos="t" align="ctr" overlay="0">
      <cx:tx>
        <cx:txData>
          <cx:v>Localização</cx:v>
        </cx:txData>
      </cx:tx>
      <cx:txPr>
        <a:bodyPr spcFirstLastPara="1" vertOverflow="ellipsis" horzOverflow="overflow" wrap="square" lIns="0" tIns="0" rIns="0" bIns="0" anchor="ctr" anchorCtr="1"/>
        <a:lstStyle/>
        <a:p>
          <a:pPr algn="ctr" rtl="0">
            <a:defRPr>
              <a:latin typeface="Segoe UI" panose="020B0502040204020203" pitchFamily="34" charset="0"/>
              <a:ea typeface="Segoe UI" panose="020B0502040204020203" pitchFamily="34" charset="0"/>
              <a:cs typeface="Segoe UI" panose="020B0502040204020203" pitchFamily="34" charset="0"/>
            </a:defRPr>
          </a:pPr>
          <a:r>
            <a:rPr lang="en-US" sz="1400" b="0" i="0" u="none" strike="noStrike" baseline="0">
              <a:solidFill>
                <a:sysClr val="windowText" lastClr="000000">
                  <a:lumMod val="65000"/>
                  <a:lumOff val="35000"/>
                </a:sysClr>
              </a:solidFill>
              <a:latin typeface="Segoe UI" panose="020B0502040204020203" pitchFamily="34" charset="0"/>
              <a:cs typeface="Segoe UI" panose="020B0502040204020203" pitchFamily="34" charset="0"/>
            </a:rPr>
            <a:t>Localização</a:t>
          </a:r>
        </a:p>
      </cx:txPr>
    </cx:title>
    <cx:plotArea>
      <cx:plotAreaRegion>
        <cx:series layoutId="regionMap" uniqueId="{7AF53D91-B5D9-4B0C-803C-6F06056AE173}" formatIdx="0">
          <cx:tx>
            <cx:txData>
              <cx:f/>
              <cx:v>% CRI </cx:v>
            </cx:txData>
          </cx:tx>
          <cx:dataLabels>
            <cx:txPr>
              <a:bodyPr spcFirstLastPara="1" vertOverflow="ellipsis" horzOverflow="overflow" wrap="square" lIns="0" tIns="0" rIns="0" bIns="0" anchor="ctr" anchorCtr="1"/>
              <a:lstStyle/>
              <a:p>
                <a:pPr algn="ctr" rtl="0">
                  <a:defRPr sz="1100">
                    <a:solidFill>
                      <a:schemeClr val="bg2">
                        <a:lumMod val="25000"/>
                      </a:schemeClr>
                    </a:solidFill>
                    <a:latin typeface="Segoe UI" panose="020B0502040204020203" pitchFamily="34" charset="0"/>
                    <a:ea typeface="Segoe UI" panose="020B0502040204020203" pitchFamily="34" charset="0"/>
                    <a:cs typeface="Segoe UI" panose="020B0502040204020203" pitchFamily="34" charset="0"/>
                  </a:defRPr>
                </a:pPr>
                <a:endParaRPr lang="en-US" sz="1100" b="0" i="0" u="none" strike="noStrike" baseline="0">
                  <a:solidFill>
                    <a:schemeClr val="bg2">
                      <a:lumMod val="25000"/>
                    </a:schemeClr>
                  </a:solidFill>
                  <a:latin typeface="Segoe UI" panose="020B0502040204020203" pitchFamily="34" charset="0"/>
                  <a:cs typeface="Segoe UI" panose="020B0502040204020203" pitchFamily="34" charset="0"/>
                </a:endParaRPr>
              </a:p>
            </cx:txPr>
            <cx:visibility seriesName="0" categoryName="0" value="1"/>
            <cx:separator>, </cx:separator>
            <cx:dataLabel idx="0">
              <cx:txPr>
                <a:bodyPr spcFirstLastPara="1" vertOverflow="ellipsis" horzOverflow="overflow" wrap="square" lIns="0" tIns="0" rIns="0" bIns="0" anchor="ctr" anchorCtr="1"/>
                <a:lstStyle/>
                <a:p>
                  <a:pPr algn="ctr" rtl="0">
                    <a:defRPr>
                      <a:solidFill>
                        <a:schemeClr val="bg2"/>
                      </a:solidFill>
                    </a:defRPr>
                  </a:pPr>
                  <a:r>
                    <a:rPr lang="en-US" sz="1100" b="0" i="0" u="none" strike="noStrike" baseline="0">
                      <a:solidFill>
                        <a:schemeClr val="bg2"/>
                      </a:solidFill>
                      <a:latin typeface="Aptos Narrow" panose="02110004020202020204"/>
                    </a:rPr>
                    <a:t>23%</a:t>
                  </a:r>
                </a:p>
              </cx:txPr>
              <cx:visibility seriesName="0" categoryName="0" value="1"/>
              <cx:separator>, </cx:separator>
            </cx:dataLabel>
            <cx:dataLabel idx="2">
              <cx:txPr>
                <a:bodyPr spcFirstLastPara="1" vertOverflow="ellipsis" horzOverflow="overflow" wrap="square" lIns="0" tIns="0" rIns="0" bIns="0" anchor="ctr" anchorCtr="1"/>
                <a:lstStyle/>
                <a:p>
                  <a:pPr algn="ctr" rtl="0">
                    <a:defRPr>
                      <a:solidFill>
                        <a:schemeClr val="bg1"/>
                      </a:solidFill>
                    </a:defRPr>
                  </a:pPr>
                  <a:r>
                    <a:rPr lang="en-US" sz="1100" b="0" i="0" u="none" strike="noStrike" baseline="0">
                      <a:solidFill>
                        <a:schemeClr val="bg1"/>
                      </a:solidFill>
                      <a:latin typeface="Segoe UI" panose="020B0502040204020203" pitchFamily="34" charset="0"/>
                      <a:cs typeface="Segoe UI" panose="020B0502040204020203" pitchFamily="34" charset="0"/>
                    </a:rPr>
                    <a:t>21%</a:t>
                  </a:r>
                </a:p>
              </cx:txPr>
              <cx:visibility seriesName="0" categoryName="0" value="1"/>
              <cx:separator>, </cx:separator>
            </cx:dataLabel>
          </cx:dataLabels>
          <cx:dataId val="0"/>
          <cx:layoutPr>
            <cx:regionLabelLayout val="bestFitOnly"/>
            <cx:geography viewedRegionType="countryRegion" cultureLanguage="en-US" cultureRegion="BR" attribution="Powered by Bing">
              <cx:geoCache provider="{E9337A44-BEBE-4D9F-B70C-5C5E7DAFC167}">
                <cx:binary>7HrZcuW4mearVOT1MAsAQQB0uDpiQJ6jPbWllMq8YSglJQhwAUiQBMC36WeZF5tfdpVdZbs93fej
UCjiiIfE9i/fwj+/xD+99G/P809x6Ef/p5f4y4d2Wdyffv7Zv7Rvw7P/OOiX2Xr7Y/n4Yoef7Y8f
+uXt59f5OehR/UwQpj+/tM/z8hY//Mef4WnqzdbPy/NhXPSSbte3Od29+bVf/L+9+l9c/OntL4/5
nNzbLx+eXwc91tovs35ZPvx66ez1lw85ZyX68NPPv3/Ir5c/PQ9w5/8ent3/+c9/ccvbs19++ZDR
8qPgJcNlUYpcCMbJh5/C218uFRQuMUI5RQyhQhTlh59GOy/tLx/oR1qU8MsFZhTuEcWHn7xd3y9l
+CPJ4UpZYspYQeDnb7tzY/uk7Pi3/fj180/jOtxYPS7+lw/iw0/ur996X14BE8tLRCjLC0RIQQmG
6y/Pd3AA8GX8v/JMjYaoOclFrUs4aU1JOznC1OxBx74spc+amFeba5svqsjVUP1ut/7F+BhW8g8T
oLkomYBHkhzDbvxxAo0zkfdzHqWgttPVZiYVj6mbs2+5GJqntvCkrTUd8FNhrDYneebVILt80gef
8tDIPJECncxr1o1nxtjNV9tcDlz++3nSf55mgSgXJccFzJWwP04T6bGbUz9FOWVovFt4zj5PmpmT
fz9KLt6f8/fzYPCP950oCyLyAud5AeHy+/NQWvluU2SXys9NLzn24yCt5+zFLFRITyJTkjaYDVI0
wt3TMsTrhTD6WQjfTZUVumGVmaxKh8xnbJLZzOx87bpUhsp3aMuPKvJcXGajCPimKVNLr7RQkdxT
i1M6NDpLpYSvm/VMYZvvB2RjO50zs6H9kc5mJ0e8MvuFcz7mVVLdVFa0a3OIldlZqQqMuyrsaKCV
RW5mtwG3W1kJk03jRSyXbDvOuts3SX1Pm6OYaMOOKHZ9WXdF7uY6zKRXFc1HuGqZH8J1MnQXFVOm
7242pOHJXozct3LZI2qdxD0e/LkXLW8ex7GPvOrZ3i1VIm1zyuhWki+tp9NyNhKzxJqNXaNPd5vc
+OTWzO1nqjPzIPuJZqnSnpRIWjFqU7netfYkmy2aK21Jo888XTNRBbx0V8VkXF8JJ7Z4mAPnq/QL
CnNdKk+eBqMckVmJqJKG59rJXuCI6iII81TuQ7scTF8Oi9QhJXKlCrt1B++HnVQz39mnqVXZFx07
MlS87JaxbnclxKFLi7cHapbJyqYIcZFxLtFWD/OG/ZHMAc2PY1lO5VkWDDH13k16riZqkHtUjKPl
0xrNbqRZZvqZLXNPD2bQWXnK9w2xsz7bRXEWmiFiuazMpW/DPi7DZ4h+F+pRCPHg5pzYM9+k0Fe8
G/P1kBMxvRZL7s6HDrelbJWI84kQWw+JWuJyutJZEXKZmnalUtjYB4nGLTOyw5Tqm4F7NkvPol4l
MbjDVcfHdZQW22yRZptDAdFj8s+E0qI9oAajqUadpuIxKkyHxyZkw6sanRFyov3WVXTz9IFpn5oq
b3CWV2voErnEYexT7ddd3DXYtk+GFOwFDROaz2LrjJdsDPEU5XubfQoTY6vM1nZ6ElhtQfp86776
YZzu+mTNK9PFMpw6G/NbFwK7bS1SS6XFNn9VAs+xItizc6RKHu+h7iVICd817mQtuxKdhHmw0wHx
hsYqt+VcnO4etXCkwg+PFvP5x5b27GyeE8J1Y5oWydYt2VpRQdUkvc+sPkI5zz7h1LWdxEUsnhNW
GeS4gYYk3UImenCtD6fGLMtwmCfcHZlImB4pGtXJsqghSpc6hyoXU9A1akm5V9vS2XomlKwnAVbz
Ne+L2FdTk3ZfFd0GB6hT70y1ZTuBBJvD2p15vfEk6SaW/uBdUyrpdAxbrVPm47lCa5+kMSM/7YZ5
iVUYgsA1yoqykfh9qGq1pBvliNeGVjO2LKvzSCAE/arau7js5IvP7bhJkkr/QA1XD4WKzY+WiPIW
z8sQq13P234s8yV/4LZ46hnR3zs0qy9W92yUlBfJ1irj0N2s8ritaNOwcMpd1J+g7xpeo73dw0mT
B4ykWD2ikOTTPFXzUqzqGJQtvuthp1QOZjWfcZPz7KRf9i2T+TLu5LDmoS+kV4Uwcum9UsduxZZW
rUotPuyp4I9YxDKccD3MF7rQfpZlUPlYQQcbC1lQ14aqSNq+zMYvr2rF2Mmsjd157t3+Pdt2/VVk
vVYnMd/Kl3IL4UWz/rYhYfLSb0VhZNMP5HIus6HeI19vUummLxah72RSmlYltJyvpH9xjQp3m+va
Fz5P/Cxktj1Z8ZLflcW+vKZ5zoOcYuJajshmjyT189duW9qyyofSjhABavoaBrJflGqngyR2Ut9W
vkcvu2ZduMxX4r+Pqe37Q2tUem4Hf8niGLqjmhm+78zUfl/KWUEfN/pBU85NJfTatFLsxD45TZSV
O4zyaYHkJLL1eU++JWYXVulebOE0CNqmii1r98YMGWwlOg7Ry7tmprLhczfUri0DhwKk+ptdazvJ
MSt0LnOdj/fdbNbpODeTfVIjYa7uA+8fx20viFz7ZmV1VnrsIYIVvQ5l7l5z6BmZjN6Mr6WYVFsx
123iHMcWKSjtvujlgsp0bdttTXLsiULnQ4bFXTQGl2drFsvrzjVLURHu8CL5BkddJc/3Xu5F0c9X
+R7Msx6UYrLMN0jqnZVtXjlFvJOhE+tezXs7v60DKgdZWGueFoockl02mU+j0eZmRabMDyrDS3lQ
5b59YUK/l1CxCldlLKdZPZhW3TYtE0NVcrfhOm2IjJcd7yclxcIBCto+mtuU7z7IhMryKwRVb/+K
+37+K0z/Ffj9FYi+WJdmrdpfcfrfPv7H1W/w/8/vt/39/+9Y/++frt3beL/Mb2/L1bP7x2/+4UYY
7tfx32nCHz78E2f4PaD/717871EGAmgfUNt/TRnun8fl+acKpjjr8fn31OHXW3+jDuJjXjBA+jlH
GHMsALv/Rh3yjyKHbi0QE4JyVgCM/JU6ZKT4WBYFZwIYBUEF4nDbb9yBlB9zwuGhMMcC0CzAy982
4g9HBkzr18+/5w5/hO5ATPD7yFggIQqaUyAif8CqlIfg/boO9UgpBsxJm88sLPnpntvt5Xc79C+G
+iP8/nWokvCcwHjAit6n8juaUgwbbTMCQxVMzdBLMlxDa+mO/36Uf7kg2BrYu5IAAQPm9/tREHZK
cLsMdVs04ZCNeDlmTrXnMw7m/8F7CvrPSypLIH4FKwoGJ/yPzCsrO9QTh1ItRpVdJJ6ir2PWp092
V45f0ZZ2Q+VGtA5V7nIv6j00UDeyJS7zBVrKjgPebsL+ioJCTV75bF7LvFomHTNJhpz3Q9U2Zmhv
SMhDWUVamBOuqNBHnZo41mbWSycz6MPxlNKY8Zr6ZuplzjaValf0+I0olX8dddhee5WrvS7dQFA1
scYAJYzDXspMDYuqSdxdd1pk8z7IhdDsB3AOe2VXDLiuaLXm1UzM+kZZoTcZgKOZau2LcB8ZX5Tk
oSAPo7DNJ7x2vZFDwwWp4t7Mutr5gENlx9WEeiDrNEmNjPpCVxJWqdcgdE06jAC6rSPRNWaM9dWe
OOkrjOjyY+roslaNGJCt9mkbHwtiiiCBRpGXBVF6nmeuK2XciHmG55Nebni1pupdUiM0Eoog5grS
kgurtvET4oYZyR0vnpFhPJOG4HGXaRPrVlluLJNz5wEtGjLuV6PaBK8Y68ZLkboI5JEtmgIY2bMB
oOK8ilOdsdhdJj+V0FH47FEvS1+k2ww3AVXtyIpv7RAzDzOO8+24EI1OpyKHfUZb5vOq2PZ0haZh
fmzIGhapRDKf4xDs97G1SkAgRLQfjI+sl13XO1ytvojzBWaj6aoF2iq96HCkpZzhcN5oMZQPTWfD
5xxFCuRi2PSyw4JdAs7FhUuSrGq+i5O13wgy5qYYdh/lAkDkse3E9I0IP6KKxLm/HluSmlo5zB47
NIxXu+HLxThogQ9LPq5ANRVfr5silenUtYt4ynXJvs+zpruc7JLpurDUXhaG4isAhXquV9f5z6Ua
u/vNl/zMjsMSABgX8xN0+dDVLU9dL4E2pNOsSyBWkNjO3wovOJbrmMZOlguAKakgdJ+3YBbQPYib
25O+aQC9J05zJYts189W5bMHeLsVc+Wh/WHJdpNvNULJAhCeUbFJU+zqzIhshT4Jss4AKHxueyni
Gm+hHW6pwqS3Tk472aZqLxaqqqwPoIyR6G43y9lr55bmNM4bYNu5Z9lTbPU3i0UPSTYj+qXhK9Fy
7dgeq2Zkk5NEEzLLtAZ/209+7yu6U6BzogE0fkgNbVZpDZDTimUKX7AY0XUsVgr4m+zLVHmyWlzh
AQCdF5lvKtub9MKy6Gk1jshhqTOxoMp2mTrz7dTEw0qRVzIzmWsOgQfXSKCUjZXzkGVO5pFPBHCY
6J7DssZOpgn3VoasHKMstpSd7bjAFpjeONwuzr6fuuXEyLQMCVcBGJk+J1M55rJdUf/QZiKx47B6
hSUiZvAQ53HfZSjXcakgjPQoF5tPoZ7W3jSSe7OsJx0L3f20NXndQwkSlWrwSEEsmSxQPwGUuYq8
VaFy2g1Bumxnu+xM6lRNu9h+yUug5rXodK5PgLs6gOs7ZuTEmrGB8kTT1EIZS/Yrat/THwQaNNeQ
iuJB9euCDnqOayZTAoHxYDuTZRBVcwbsP+/WTs5Z5K9FY9vhshhXdT+0zQayg+XXfPA5O8x7Y5fD
UI7tSdqJi/XULSWtct8bXnHUtqYaIeH1SeRpPun4gt2RGkPaYzdDX5R9lo+3WCzirm0y+zU6ypqj
zikAyxXr+H1rKR8kNcHXzbZutd+z7s6ngDsZ9jl/dsGmKL0I09k87P12ADIJyUCaFX2me+lOY2Ya
JBvgC6++0+prcsp8G5aUPwwWla/rFAddsWYyUFfzIUtSgdzQSlS0cye9AfGl70l7XYDuAIndYvLJ
CR23Kse81HWpkYsnoivMNxzHzssxtGMjXT/zrO7N3K/10uftDWVoiDV2m7t7359NClY0l3wj+MkA
QYmHZhr1Ivt+HIeqicZ9Sus+hGPYueEXPc6Bl+x8K5/CisW3HSL5snfO5XLY1hUEI1wgJrVJk5Z6
i+H7Yoc9VFNkGk5c9VCfsxnSR7a871+At8+bVD0l5ysZduiAotGFZNvqQZibQQerlr2wN4V3+JMQ
0KYP/UTUkzAMfR38nIKkAgUreTMV53xMKclVrG6UW47oi9+ydToMTUzPEywol8VY7kpOCZtMbqUa
nma8DQx4h2s+5xlJD5MYh9O+HXcn2713vZxbjqAOAxS8I1vbK5lo293RUqHnsXT992Ab7qrUjJCz
wKiRAxqxkU8jNOq2diBN3o1QR54KsRZtNfQoe8V+yVOtyQoKQr7rM9iv7i5rx26VxYLWO6SjehuE
77Hc23Ggcg8ZGSuVryOTrGPNFcTFZuUAMvl9pnT3OTPbOsiNL9uXELV6piIjHXRytL/12vpJ4gEX
k7Ro6SYZlkFzydICJdrQMNzPpYFSyOiQLtM07NeTTfQe+lWfS4EKd+aGsYcbchQCnGszGBncSJ64
Lgosu771X+M2hUdKLG7eWWVx7otQXO12942cOUCuauNDFmSPVhuBRM34oeEKvTqQ3bbTAVQ2dRh0
2m9H5NHNaBtbyGwaxB0rxuzFs0H1VU+6AUI1n9wqken7S9sXQL2aZVU9xE8BPZakrRmkjqthklq6
XGWK9V/KDtYZy1VfrorOX/a82w67n6HdQRu5DH7qrkGYeVcPoEXdR0ULXUXYHVqrGNeLPekiyZht
7DJAZ9mqMdq2srgrH/pW51/0YhdxHOaB3A/YE1JPGxdRBj2HR6gt+afZFK2ChCFde8FRsb4zaRdV
NWrdt7LTNj0aEUoiXa6zyzkGskFh1HlXpS23Nz6qwclIkNoOGWUTO7h8nG8bjprXZDGkb2p6/dzl
LF6UYVsB9uhmEhL0lH6BXttvTBZF5ztoS3P7g+wE57LJ9ul7mTzLKt3N9gFa9/htxZ1pjiBs47M4
ENyAe6GKq83M03UWmbkvHOFGrrxHZ/ugbJITb+19aef5cVK8eAQ4Iu6HHNYr9wyE7mNXLuwllgh0
HOO5us5Z7pt6BzR/Dk1WQFRAKYcIGhIDfLUI/WUMQWRVO43hB0ok3oB0rpeqLZf5UnC3AuQ1U7PV
oelJ+J9SFrDJ3q2gAhOCcoHzP1KWyAQZZ2psXYAKcNtnrqwRRMlJmzD78u/ZUf5P9Igg8GpYTmgp
gLa889Hf0yM7jWnFzkw1KZTNpENZ820SWUek56mFUwsJek5P6aSPpSvSjyFNIEd0BXGPmC9okSCB
OnyRz8qAT9C1OpN0RPgixmA/O7IKVMORkrcwRg0Nfki5B8VlMz8wR/62pDR9K4qQTEVjYcfK2a58
jmsev2EdwOkwLorbZSDtZzbT/fsY+uE+5MTv0JZ2+q0FdHnzly35/yrGB1AOSrDi/msV4+p5sT+d
gH3r7U+v9qf7tf+DkvHX239VMgr0Ecw9hBAYWqyEP+B0/qZkiI+Ygf1XYi7Az+Tvg/6mZGAO10CU
KinGCCNOQWD4m5JBP4L2UXDBCUIgDPD8f6JkMPj6H3w3+m6/gphRCrBAhSDlP8R2kxOtmhxv9dy/
88NxRfmDB+CwHrGJCFhsP69vW5jSk1mhryIxkkWW64TPHAkRqN+I72meYv1upp6OwVxkibovmPfr
i5pFd9MBUvy0rKSp5qi2Mx9FaIHltNttS4GFSdOOo9xL3daJI7C/dLPhb4my7a50GzBlM4xfImDE
o1tMPBddl+Tgm0KObdpu+KQpOsm17R8o6UC3wyb5Y1j9DM4aV+ColKvnX8i4zAAm+b5crqvuvuKc
lVhug9lPdTvZV5EjmPfk+FdQDTlgGnJnoey1ku5j/Cwwpw9+0+UnusfxHFT6vBJFXkBaB5xd0Al8
Kql9q23deMWqEFP83qlVnNASZResS/R6GjpzZfsh/4pI/m4w7ni2ki5Txp78tEZpN9AwkGlcBUUA
yD2dxvwrzVBzTbcufh78Rh7WjIFBCQRxqFAT27wOJsCOibCr1xWU91xqGu0lXdp387Jf29tg+vf2
VOZ7BJjj3UHZIX5GWVCvUENggWDRrgNYVmS6D4voTwKN8XvQaW2PIJMAJGxLul9AmQc0qpYCqzNY
XTNLAcJOIbt1GGvbwn544Lm1xqSDjrKU5iA0Vq9NntEe2mIyCewRteiqS41bKpTRcB4Aa9V2a/Ov
CmSZaxFUshVlgt/4ZhB1uSmAfDPvfU3RWl5oOEglCeo18I3RfUnQGIDbpeDkHptwswDA2w692fR5
ooVTVUG4r7sR29tmVewlbIkfupFOlcoirhY/vOisvw7gF4MSJSw+VQvYmgDh0XCGMS2vBYDvx5Xw
5cRGoR7AFejqbVHdXqV9xrwqsgawjVrW5qxxDQAHXNhLph2/bc3cguMa3zLavFsTwXyJYjUHpkGN
RmAlfHUTZQ9NwDTIYsinB9+1+2Fqsv6LDjRvz0Se4ISaKbBDpHi8ZGTKvpUxldkpAosHqPkyjnVA
4z4cLEhbV3aEQEVdkcA7aql5Du3ai2sLRun3sO1bX9N8XZ9AfNiuW90vI6yzN3u1ckrbQ4f1Dup8
wVKlQMy8VnPHuOyZcz2YpLlQ5wArAYkuHujXkXfC8HMPrteJAI4Qa7RiHy+QG9AgFVoEGCus2A9u
3Gcw3oAUhljGE1y2S7xq2DLGexAggK9DSLRVmbXhZhq2BaZoChKrOIzr+Q6e88GMhTFyo0Yd9p4Y
SGXH6PO8xx6MOmP9CP4upvHWDTl9VZbOclz6vawLKKoPDqZ5YobQn+x7IXHWCfABFiBZS6GLg2mH
9p7HHnMJ/rUe4HlKkM9o3RJgidUdCtb8KAJnLfhow9peuHbLeAXR16ibUogBH6aN5t/sMr4nQ2xK
dhQz7Ah0DchL6PaFugujgBwXXPtwCMTmX20QUCm6ketYKwJpegzEaFY3UQD905sG1Ie2Tr2KWIzi
tJiZEce92Aypu67LuqOGm+wZOP++P2UJRKBrpu0tWuAdAT61T1lfnoNEkO464HtH4/y3UTXT8zSz
8lzZLfVVHtkpCJAjklsxNd0dKSd+P8PLL4BWkIfJipHezaQ8cpaAHjn9YwLAKFGWuhciQG3cGS1O
VDOS4qp1OSgj84BcC771lPZTa7w4hJlzfNllrckPHoqFPhkWMIC3uhflDih+XXdWgb3WK/B3Gbwk
MDNdtnWZ5mRPm1hIAoYMv9IMnNx6cWDnHbxNXFQ+lSCyacJOloi28QWug4jcdJQ+ohw0J1VEfgqY
/4hBni0Bf4qaQdEOkk2dVVXbFt18pvo0dQcLReqyAHohmWg3dOoSnzKpNuzcMWvdsZyyxle6yNB+
Vm52/Rb2yZWnIFy3QAemicdP/bofUb6etttO5TKWsdoCfktKgOwZj+PKQjzxYG0WJyujCz/ZzfNs
98fMl9HAvLI8nTWE9te8H7PxXEUxnUydIw8Y5ImhGmEG7GSKS+nkBmbDcEZc1lR4KZQcOwvcBgRV
K/ON9A8pOeTqtAR7TCpARuX+utxjB4RkakUlJjOvF002KXWC1tFXe2/g1ZqxyadVcnAD8HVvNPTk
dqaIXIvSdOhEaz+d9wON+LiGIe8OPVvKC7ZScqNo6i9WkF/dAd6wGPJD6jnrKuwW4MOUg/Y4t226
s1O2v812yE5s27UPmWZ2PwfBwbMToXl/yVCY3iYEI07rGth3361tftaAdYmu4I0QXPW54+3NJLzQ
nyy3ca90O4NnP9pB2yNYydvdtPQxP1MMNEgguqCCVNR6yPjBwb7U4+Dw564Hd1XGbkdJ9qBKQ3vt
W3TcO6fufGHEfhuyaVlkV2xurQQIf6dqMOX3eYwNJO/sZoPq2U1qPlXA0/ylcwWIf1mWDvTdfODl
EoHvT9AMRb+H/bQbHfPZQQ1wDC8oZ+N2Icw7jXcjeBA1iI8bCJuwjoHMykvapc3XNnLa+EdoLtz7
g2U4fsIa6+kwYai8YN8PAM1c4JGAcjVpB1vsm+VhzUtPang/CViPn4Y6nwuw/NfWLG0d8lmHGzXA
G0dyYcldbPOyDdBWk+AH4KWuqfbsnY7GbSiP1q5irpNaO+iZ0bHsaPQyl5duBzO7Xoe2nOuR9PFY
wGsFoMuWJoH7bztoTA247xZMcndpDdO35QYLO0RfaFAabb5lFZo69XWC99usnEDkaesIT53/L3ln
thy5savrJ+IKzsMtyRqlklpDT7ph9ODmPM98+vNRXudYRVUUQ96xr87yst3tloTKTACJBH78cBA7
xq5Ukg6IhKYs77xWjpsdr1wxvx26QI4+K14plEer6UOy2lxyxtTyzAXv0iZuYwZJdLASj7ApH8To
WdQ77VfZSEPrxCohxSbr0sC0/TK01I0kK8VGzyTJrkg6HHrJH7+m8+OSoHQkLpF1pWvtXgkyY9cr
qSnZkphjYIEVCZlttI1qgNzJinsxG5PnTpf9aKflcZbvQbQNteObeaIfiCxCN6Jgo5qxtAuKxNOP
cdc1ItlaLdY3XeYNlev5Gq/FCoSVuFGCoQ9tDmWTl92cQWumGzJq+JB6L7bm0chbcV8NeDtJz0f/
Fgc1vkQ+8fCuCsTxWIcq9wca3e40s/xlatGhmGJniLhUcp08SKxtPUXfiU36JONnhC7YtpH24Dfy
lyAIf1d9sK9EiuOGfCuO5jEKi9CuaiOzpSzZGVH3kufpoUx7tx2SH3pefzUz/euo1k+Kpni2MJFU
V7TJFRLqN3WUjg71QEcgSy53ip11+Qtx16PWhbeVJGzN9hdA1JdgNH7V0nisGks7aJWJAxYGJScr
KVUlgCQMLCQCjMyiDD41PTCvG4AeVvGsif4x14rMEfP6EZiHrLlNl3yL0xCt8FsBjBnaSZa+JX9j
dbo7SWSDaqdvAg2g0uSFgTO1uu+AdZFNUsXTmD1Xnpc+lAIK5mbscXCQq4nvSfumVxyBB0D0GcDO
T2Bt41NkBM2frvUs46gVwEeBNgna7PDKrzoww1+FWmulEwwTGWHioSq0e9Yd7PuOtBvqlcfi3pKm
bAImSI3cbRpl+KpaU2xsgi5XYzeRhum2Yc3hNjbjQT5SIhKifWkVau8OUkWygZRq0O0MIdvoUnSs
J62M7VSdlOA2jdO2cUkgmcZ25P5o3B7QzA85DzyTU1J4Z5Wln/onIZDEgmrmGIybqrNaY6t6ovg7
ihUFA/EkKfjcgDg8tFlRCbfkIqnFlENmxH+jPv//ySL8yim+zGhsP8yzt2kA5SoQwq5+TOFZ2mD+
+v/mDGTzPzOyQTV1ea6Sq/o/OQND+Q9galDLpCgkUgbzH/03Z6D9h4y2ZhB6GuCaeb+STvi/KQNF
+Y8B9lQSxRnUrcqkGv41+AHYwwI4vQA//AOcLjXKE84E9L3atW2m5kd/0qLmQ3m+Wdw5TBrAx9vc
2z8waTGuSu9lSGIJ75kB1lWfUHGdCtWbbM4q4uJV4BngeYG4+JeAZ0njQIp/AM+aIXO+hgJ+ROKc
gbMvMBdpYypgFKSH7f3h+X7r/NkfQnu727p7d3/aHu5d9+l02vLbzcbhH/Zxf3Lm37r322f3+fB4
cr/l9sHe2d9ufm75AduDfb+zd8+fOptv2Njbx8Nu4zxtjo6zKezN3Y/IPj7tnaPryrb74G5PL5b9
eXPnIsS19+7mwbHt48l13TW8x3mC6f06F0D7OMe3E8w8uKf9yf62dbedzef+vtvaj/bWtudPu3dc
98Zxb7Z8iM2N614/UO08ffv+Eyw0diIxlWns9M325d7f2Iedfdjes1/b7Wn7yP/YRX5lbzYb33aO
++OfPVGi/cfd7/d/evvh6eb655Fmlb128ovUtSp2nRfxedxv7vN2xwZs9itLXhUxY3DewIaaukrk
ZlYu9+Hbz3vfvrc33+8c0V6Ro0h4nKtrWVjLZIz92M+Cvm0P2xMKdjpsn/mFe+86N4fDicN9sQ+n
A3+7nD06uSltfrlFnfcnd799sbfuN/R+++Ie7u/RB87l/tG37a+c0hZ1t7eHzdG2t9/sR+dovy7m
sDvcHx7/Ovj2X4/zD/35fP8S2s+T/dO3D6z28Ph4/8hv//qL097azt65ezo6T/z7Yf+0edr/cfZP
+/2T/fx4OAy27du7u83+6+3d3de7437z+XDc/356cDY758FxT85m8+TaP243zn7/cOM+Hfd7e3M8
3jpP7nGPVrso7KsGs/I/aPLJdZC4d1je4X57unH2mztn775+4Zcn/jNGyPfePHz7ho07v1eUazan
a8q19JcSWayJAzm5L88HVMt5ui5AWdPe2a+9US3T93LBiGZ73t7wN3a0O7mH2RNtbMc9uo7D/50V
ReMCW1nXIk9dy4XhdbiRE2Z8g9+YjXf+i3/fv2xPKMoJHXs5bV9O96WNfzu9vKCJ9u3uYD8eHneH
3W632e1ubY6aA7jBr26+396iE7Z9azt3+/0RXeUg967zcMMR2vvN8cG5uWE1HPn1TaRStbKc+c/f
7GLcGUYHXgWFmn3u6R5/hNefN9HBd5c2Dt3+iUuyWQgu+mDzhXir7SO7jKXNjpNfPfINB/vO5o/4
1fy9h8Pujn/vn1ije3QesDIXZ3faOvP6XOeOS+TAlcKXHI/cDbPX3c42e7+dFxrYe3aS72Efty47
dTOrvbv/drqfN+fe5Xuub4Uy33NXFPb1z9/sRF3WRWDMHoQj/YblslbnlksLS7nBuBxnxf3Ks++7
JnBxIaVRVasiW3/a3r/MzgrP7/yYt+dpRWlVcU3U4ubRdUkSJNZ2gye45yBmvb2Zb3X0cz4YfAWe
AYeBK8Rz3LB2/BXHyW+5qfmzPU7m5G6O/JKv3h4IDPb8KfrOr3FtDrrgconwI/nx85dsc77/8ExY
gVHiTF8VZZZ42DovfAkfwZ51bP5yfrOxZ/+4Ry5fy0/8tLvnx+PT+FH45sNhM2vh6fTNxb4OzzY+
he/BeOYTQqP4cHw/P2/+Yc7trLCshE+Eb+Wqxda+bI7zl26OBzb67tU7sOr9LmfxGJ+93ew571n/
Z93ms+34zkfnBz8VL+oc757w1fM2sVHzd2MIKVcIns3hP1/XxvMDowvNpMQrA+/VZd2ghLE4sG6a
KCOQJLNNWejIqRWdYyhqs7ku5dyX/VeKQvinSqYlE8mfG3/u0StiKkC8vCyyNl4raDb5puTFH6bS
DWNLuLsu7/2qNMqIIqhpiTYZU1lofCJNhmYNZmW3laVuQ7MftkHSSR8KnOdVaaKiGQYoZd4uqjp/
ijeGLLVmGFUi6fBIDeSvYlimh6YYppUTer93SJlx3jRP0jEozn/+RkpVJmLQGFZFakMNDLAGQ97a
caVp4P8sIIq2VPbB8/X9Ow8gX1dGno3WRNGcH1LqYv/A6JVF2o2VDRJAPopCqbldTT2PDI2+srwL
onj6Ufe1NIXkq7F4FcgUUfK0jRGVdIXd6kO+q1tTm3MryfH6qi7spE6JWZUNisAG6n6+k1qhZ6aQ
pZVN3SE6tGGk73Xeb7dqrlj3fZUbK5fefP7/+N3XXTyTt7jBxyafcr1DXpVJU7FPJa8QNlGnhyty
Lq1rbgMAqKKI6ORCQyzKHWYNnM32Rzl2266S7wJd98hMmaOrD6a6coNdWpdm0jBNMZ6yr7y4yrvE
HzX6uErbylsw04CzNo3qxSs+45JivJGyvCYpiYJsygGFWUkZdI6nieHoxrIwvih+V65s4SVhOpgX
A0OWZsU/Vw1JAIEkDGIJvFck1Son+l1N+6ttpX61Ylvnz+C/teKtqOXuTUZR1RK7p035fRAYPojI
sfwymlJ8OySZ9FKZ7bfrin/pwN6IXG5lp4bC0McSKLtATB218rQtAFbf/RdSaFUHjakq5HHmPX7j
qMhXBtUkBBUtgVb7Kc5pHRTMTLn/F1LAJWHHVN50Y6HsnuapZWAZpZ3XaQgoOde3YZfru+tSLpmU
bipzv75EX4608EqVZYSAAV57qi1Fd0wriY+Jnnp/0qIOni1cVfNvNHDuCSd0VnTZXDinSAiSKtQV
as7kynZJ134nsUw3n2ys2NUlZQAQCgzGnD3GEttlhSnP8Q6HK1E81h/MrjCUbTQMTX26voeXBVFC
m29H8GqLFemaCBBbw4ABKxu0gtLYoib0tVyXIp2//2Z7Iqi0uOQtQEUaCzpXO2Dk4VzgrexSqRS7
zhRaK6cg2hRF4e+yPlfsQtd2nhfHOxAsvUBNJiNdLqrBilt8ReCd+3udZxxhjqyYIEuXTmSofTOQ
BqrHQRjER3p+um1ZFspz3lUnH+T9saqLfFPFtBgoCs0+Aw29DlvT0MR3aEehXImC3nuaGU81azHZ
U9JvyvnOZHSxx7XRlICaLf0xN8dyQ09V4nY04oJhSKKfTVhN2+vn8f7UESqb3OmmBX5QXFjOKCtD
2kpcRhQ4TKfK6T2ZwAWv7PXFpb2RsghQxq4AJV3ir0nFdC4IW9npQZPsUsrro/U9j/ryw96NdXG2
hJOv7XgLtw1RhKpS7irtVGhzWzOoggjWsHa1zsp6rkJIUS1ZV+GVkOGfOD+yfkS80CGlEE366Hvf
AvstNzQPg33x5cJOK/pGaM2IHuqWbugVY7q0rSgvJCV0q4n0352L11t/KMtcLe0kzaqbqM/zQxG0
0ylqheqGqEx1xDiSVhzSmtCFAWfgW6bR4kIk1tZ7twNoeiN7IjAvM61PcjdajZsDeQpXFvvex5Np
xyxEhSge9OxCU4fCTMukyjCPUNK+0XI/tBvZ6qJdn1mA5INMaL5et433UYY1lyUUhXeQSEC/uCFb
xe8zraarv/PqzNXLsnKVNOpsIQPIcV3UBTPU0CBJh+5FJApdnGSsTlPc62phj32bbMR4ardDo308
orY0lYZVKjDsH80z5/qSjXWeq/JI87pR9DslpkM8jowHCuCanVTiimu5YByGwQthPjQVfpbFmtQm
A5Ae0PeQdGJ9DEwh3dEXJh7zVDM3haF3z0NPWdNOSdD2K8pyQUktcS4loYP0whoLh2PEgwnNCNfz
JDTWU1Jq8r0kyq1TyFp5yCtaxmyIc7QV07igMBaoV4Iq2eAklcX+8l7QG0XqiRUl4GOFYiV2IUVg
P2gJ/LhHpffpNfzV51bkxeaaRT3Wql/AIhPkHcCXsj2AGdKOId5q33gGiBPa0NqVbb1wpKQfyAlw
gc+ZiIVU6sg0qzVIVVogBnYShqbb0xBy1HKlvRvUPLIz06qdEqzYiuh3FvLKhqQqsgQQWIF96Vx3
6fvNirLE0H3q7uAsM2VLnqT7aBA0S2FlrzqrKOriBHtf1utBx3Hz7msaiG06GBs8Ku7jR1UFQUQ/
1hzTEQ8tm4zpzZQq+DNAEmQ8/ST6ax9feQ3kKIgfPuhbZlEKVxR1dSDU+sKNxSoYDK1o6COi9Y+m
x1aYXjpBTowVlXyn/bMcdd40k+wAUd75CYVTVJi92BZofwyZC42pN2B8QWcMbb3iWi6JovdeBZ8k
UYNePmmb3svAfdDHopVglEh9CG4xjd+hehn3H988IiNMjTYz6++0/5tXEk1DQTjIRWEDPgs3lUAs
GvRBuaINF5R7vmW4kdk8UTcWyl37RmCV4UxFpAGEFnUIlMqcdskPr0XhFUZOz4R8QF4GvFirZPoJ
2Bc4dywgRZbws2utzP+4pdIawFq4bOZqvHyuB1k+lt40AlW29O6LaWTKJpO94uMacCZEORdiyGkZ
CH5c2GrZetsmppM0VroIch9rJR//Lu6wiDd4VvJGwLcDrT+XJDVDmeaSkNsgnMTbMhpKIOR9frB8
TZ3svB+G3fVjkuafeBZVzhJpG7IUVYUNQlxInMokSvoSiapvsbZSApKWZbHjWcAGbSgQgn02dP4G
7JC1y8RS/iOMAj1yWbENlD5+vP5xLukmB6lrc9fn/Fg4X7+fJWlremgNiCWAVIUQbcgT/PVxIeC3
Zeh+eBmy3edC9LKfwrrQcnsIKxn2lT4CHVSLVqGv2MCl0zQgkOAimak2lqltT40zUYFbyc6ibHCi
QNFtsRe2ktbtswaOsY8vy6SKwk05swXOjIVvcyztUOs06tNpbjSadxN3Y3ko8KDuv5Aynw1xlkzP
zewt3/goIzEq4Ph4w6hOq9u8DdLNoCnhSjr2gh6wbTyn8IYc1NJ7gCUUYrpg5hDVCO6Snk5oKdSC
j+aLAACJZAdEbizwQObi3WbSZtgIs+7T852e0nGQ3cLLzBV/+z4LMYsx4Gvkpc2C9IW+pfqUa2Jq
5HbUeuGtMJrKViqTY95rlq2L3Z3Za48FzS2bEua6G/LdR90qipW75V2Qyoegx16hTEDa3nwtBL45
t6mkb6TxExpE9E6GemEI6uwTHXRid6u1Pei+obeS8AACTl57uF4wAx4CgLFkhX5BKiLnKgOvlAZ/
iZXbYxrRGRqI+uj2RXirqL4KEYXHPz+so1w89JqZikJ6Q1mcK20qsJKIeBEVWCfthkq1NdJpzRJm
TT/3nBJHio9Gg3gjLpclJbyIgffnth6EvpPAGXMYs8k4qJ4VrKjQ+x1EFKWqmbbHIAm4iBQh39HF
CjZOsMVaKLhjntAkC1WZ9NmqFe13AJeat2Ln8x4tV4flEcqpuK93tD5BXNL/Xyo5UO1UcFWr1L6U
bT/9LOmhdSUpk3+SEBloBVHyfVrJ9cv1I3yvriQFeSVBikNXILSp5zoDwR49wz3ZFDGpfDfRjd8w
AbxoGSkPaCJSu1XXIsr3LmeWiLbw+Ca9qy20tO7DKJQlcNmZIPNeBYi/x1SylZOcP/diW1Uifm44
9JO7ZxFKQDwJCi5vANNH8OQ40EuG38ppTFW3Kjz1UxnD72bHZkBTEgwD9dodcUFnqQERyhL/UQ5a
3hHVRCdQBtjCFhKv3Go+RJKO5UnBc15Xyhq70QXHB9JvTjDokoqJGIvFKjI44r4RMXy9/kRuK4Yw
z6JvTK0SCZqhQHuKlZTnOC1rdbOVPc8zbKGuy890X2SFfV2jLuw89ViJJBmhNcnHhUbJSd1UUwnZ
QgyppkMSvfnZ68TymThYdjJ68ak2v4DADz58lbEJlNHnpBnmuyStElMr0ej7Jy84qhCoNTSYTjur
k8J6xetdOlseXSoPB4Xn3vKVnmZZ5AE9pae6br3P9BkqxmaULO8GtqHWWIkbLwmDoJakAPmdOZF0
bp8NDiMQIIm0Jxg5joWUt3d9Zghup+f98/WDu+D8dERYlCVQIdqEz0VJnqqNRsa6aMT1fkeNNH6G
oa7bxVmSQGs5BV+vy7uwNBL1wI4pg1DlXj4pElWgyW3M8eu5YbpCwJO5qnwq6nzPx4+MVmMKpfPS
qKcvwt1QTwu/bmiDt0a1gtF3aOnP0aZMOUhyRhrw+sIu+FSTmEqdvRwQiGWeKhoyPaExgHaGNI0c
qGjqCKYKqn8wY9Xy7waeI3FXctesPGouySXTCH0dUb3+zum0TS8lsjK3UfQZWaKhDdU7eaTaWGVh
8Lmf2Z3MLhBWgrsLxwhAgRDAIPiiqr8IAjqjU9NG8HF1DRkCGE6gQ43L3DHgmV1xLRc0FMwAwAGJ
dLFIPudcQyelb42uTyFurafJoRlO3o16Z+7byovcHmK32+sHeWlpc3c6mU467AnFz+WVveGXg2nB
jVur+kGGg9VNoQ5+nMwwWdHQC7eiSRRF274Bnl5Zei96o+TGhx/GFv0wuVPhfXYj6He31xd0Ucqc
9KbDTqdIvDBxMS3iVNfwJmWU0OflieZNQCvsSr7t4rbpxPkwBpDHWSJ/6oD6G81fSIHN1nBAoifj
Xo0orrmjZorl7vqiLmkFUeH8jiGooJxwfkqiOOlVG+K3hKZ56prpAbJf+i+Jp2yjjMqVg7okbS7Z
WoDn1bnIeC6tyOpIVwqMuxpL/5iFlbKtY984iMNQ3NCL166s7sKR4ZEhZrBEY5a5OLLYkIt+gAXd
7ruCzu8pEOXO9SHRWYsiLpwaIuakGHlgNnOxjRBZSUETYsdDBxGPmwIgcI0YhnM7DL3q6cNnxiaS
d0AJIVRZBoHeAPlU45uZDemqltFsb5W/YFbRPFhnSBZTXVCDj3tHbmxgBHSy4CCXae4pN9MhGOSM
LHDoOTCuuSoM45Aea8JG9arBHgapX7kJLu0ppBq4YnnGFBgL3xg08LilgkqMWSdHmVLwBjIGeHjh
e15xjSuSzEWcoBfAwoAgZXbRNmF3SCHs1t1BseRxM8mZvpZ1nJVhEV5bBs7KnGMTmfTwuRWkTWVC
6STBDjdMzQ66ZeHTpHuWW2p1uYF8dzxCkuF9va40F4Xqs1uZeUo4ynOhVWr1UmgqmV33bGIIHuQz
rECfAz2rtqJeKtseFoIVmReeZzwDiaph/iGmXJ5gbU55HSlVZvNSkmw/yI7wMiVfIVePmLKhpC9a
CjsdPdvVAWaStXkN72PpufKkza/RufFqafyimhuDkkDC1xqD9NDKGf3EQeX/ELyyPU2m4G3gEK1P
QlGv3HzvvQ6CeY7ClkrymiTX+VZnjWqFDflJ25NBD4WN5G8iJZIfrh/oe1/Kq9MgDwmGbU6VL+7X
Dt75MJQhYiegDl58WgwDt2GESbaNDLV8GRNN/n1d4vsNnd+5c2mf7ifwnAu9DZpUCETY4O20CeEm
7AypfYYMdmZwo6QCIstiFIIvzijIXglb9+PS5ygeh6cac57ofFc7IRdDCfooWyyKIHEN+KPo/9Vy
mMgtuiahg8y8qXeLQYTflWSx9Nd1+e+dhMIdQqMeJQmeLqpyLl+nGkGYjJOQh1g58PePmBbPnRyY
5vbDkoguyAxhMbMKLyTxdoDdPuGWzGhbzdwBZmuFsLRutA0d03R3Xxf33koV9MjErxOnsbTZc7xJ
utWREEeAp7hO4HH4zQXixn1En3fskYFrsnznQ471nV72YheNivrluvRZac6dIdJJpQP7JNiXlsn0
poVztq2RDnwsupEKXbS1KJM/bJKzFEhxRCo9xKILY8FCTFDaPREidJ/HaFTvOnMQDv9iKSaDGFRk
yaQgFxsJ4E8AMcZG9lPxCVC6N1LoFrs1nNYFy2cuAgg7mSq3ybady7GIG9N+njrhi6rmWiWzXSwp
9Q+A/qBbMhvhwyEpGDWRW58DshTeZOfyal8e83I+IkGAISTpzOROI++1Sf1B/XR9Cy/pIvXYuahE
wvIdwCSNQpH31sidb/T1QYSo2yGZkLqwBiWHoq7EY0lN/0GrouI7PSjFiilc8HCEcbxXyOeDXlra
uJbEHagPgm9v8AXZLskoflLNxCCPORjVsywLcOlqalg+q6E/ViuLn/dxYQqWJGGJFDxgGHvtTXlj
iLkwFXwmKGmlKRe/cxihbmcyxui0gZ/UwBDj+BEIl/YvHA6CwTBwyBTZliWgZuYOgTKaFJhU1o7A
Jzx05hR8k4w2XoldF+bOquAu0wDzYYkiSbeFjUh+UXiTMsKlWgX+NoF3eUtcoG+uq9EyqfdfMeQO
ySJC9rUE2TJPKxVDRYHbgRpFY0GFNdWivDFbCGQKUW0eTRPmCn3sP8PJMG5Lqp2QTjVr6rzQp3cf
Y2E5aiH2DWnr0A0rZvYMmkHfdVMOO8iWNDfyRt/RazC6GtC4lR24tM865gqUwuC6XCK19EkxRqjo
Q7e1rBAO68SE+bzOP3ZTva7vrZTZU73R2ArCjRDiudA1IXM4avATbES/7bZ52K0VMhZO71WUNSeF
TRLSvEXm6/mNqFGqZUDg/lz4zSHyScJY/JJ5UVLdz0N+MFagFuOa0Au7aHDhzR4JwNs74ntlVMtK
yy0fPszAPzWD0LiZpa7luy8sbX4OkJyhjsiNv9CSAj4xT+1lwremN9SfpF2DbNcoMHzsJTizppuC
2RtrJvJuaVg6qgcsAcC7rL32I7/Zz6prDFXwMtXRysbfi5XHiBIQqM51Q3y3tDmJzVVIAVOnzLUM
hdskpH8klyUHehe/c0Ylye+jcrA20hhQv5Anf8WHLqI04BUsiVBiZkmUCCsWGhlMaiJ7QiE7YwxT
TtJPpksGMXIko//g+3QWpZHIJo/NE44n8SIgLWhrqmLZkhyP0HumdJ54MzaaG9PPsrKNF1alaQih
RAFIkQrbufJbUS56MbxuDArIA+lTJSRtey+RJjVTxvgYdbNS2Fpcw69L4wYEqQKSTiODci4vivUS
Vp6eXYTa5ybwsmIneBMc9YLhP0JKVMBp0kZOlA7Kba9o/cohXtAaSFvJODNNA1TmMlqTBcsi8Axk
B9U0d8LUyLaqV2SDRUHhUs7FlafUe1uAJoXCL7ffXAJaZm8Kf4gZXKV6jpzE6j5Osg6irKBZOcT3
qzqXMl8WbywOSkdLKGPFcyijG/AP6bmTDPDNM4fsoesUbSWpcUkcKdEZDE1nwbu2Ahjj0iI0dd8N
jULMom2hViNsOoGWKElrNyZVTQUz1KQ1IOal3aQyycOFeFvnCM/X2UOSXUKIJTDSbvCeTInamdzK
6scqVqgo3hKnjOPkUWjo4rmUJB8TJgMx+mpkPd8tMWdKyJAVK3mv92shcSDq5L14P6AiCynRlLQe
3E2Rm2aMIRkDQXP6Ihl3173kRSlzZoZCJCnsZfxV50ofFKYQuebECzbWtWAXivWaQrx3IlwuwJbg
yyUzQTnnfMdIkHujUpqRq0RjxOSJAD6lXor2g0eJ/PqCFpEshzNT28zKJwJKJGdwLqrK597WEPbN
ki6tXxOko8+a5pfbMtIGtzZz4eiTulxR+Eu7CP5AoYpiMRdnGfNVjAPU/ZJd9L1xvAWkZW2ZJLaG
4b60i7rCsD9rfiDQKnO+NAqlpQqfVORaUwnXuSdph9zUhEPSMwng+i6+XxCFfgKfuZeBMUhLhIgI
b9xYtGbsFv2U76w6+VPBTrf5uJD5WpkZbWA+XvYAe/qY00nkhS6MwtNe0CfDbUsvX/Gw7xUC+qM3
Uha6VytS3Kg0rLqFaoyf23yaIIrMhtuehNKJsZjJKZuY/rmyge/PCpslZcUVbRB9vFI6vPG4uQHF
rcTEPHqFJq/d5X1Ry9spquJ0X6Zy06y8/y8t8v+JY0cXzkKDOTMuBR4duhgHj3kFw2CqFvKNFEDp
z/BMT9mrQeP9+PgBclXyaJVl3ubL3shhqgtBGGYaO11nXiiUfLdxA2ffv5BCvprCPUhzednlrEUt
IZCnha4hd91Wgc8ceJi0lrK9tIMI4ajABhos5ty4Jm3EC/pa5A5llbkK/9gws5WpBVqYMARqTg41
Gud5fW0XpJJmg5l+TlTPfUvnUplSoAqd0eN+DSKNppEoEhlCbu6BLzTbDhD3bWfA6LlieRe0E1cM
ygWp8wNjNv832tkImiJKsCy6PsHlVsui6eCFLeMVGTojr3Wpv48G+CaiKRrU5/zpcl6YlYmjYfll
5NZM08ydDmCBwhQn0WRKoW7VwT5Woc1dsb9LG0sWnKzbnF3gnXG+QsZ2eEE4qqHLZCcG4GRR0UJb
bEx1L1V2PBiD5UAK2fU7vy1B814/1QvbezbybRGe/2+OfFso0P/OyLd318H/ZOQbB/MmEzVH3VTc
JGp95GlIoCwuuf/JqIZ3OoLJEaNSLvl7UsP852+s4J9JDR5ALO8QTrCbQ6/qVSK00H7Zm8w/7Ysy
fiFGY3zDdR2hYjq7lLOl8lIk5ic0n4EfFDfO5VOmjun2jMvNqOG1KwgyobhPPnXJVPuMpkpV5hzb
OuNUE8sezaqOEltkRNvMn0ulzis3DAWCb/FpSpUx+BHGQC/UQ8+0G+FLYGRG0Xz1xjjKor0hdLXw
O0sjAW5HIRQ9hgqHcZfF0ea/Y/GCMetKEYJMqrvRDk72SnnuhsISckcPgn7++mAqle9MBUmbP1Ij
Fv3XSZ50iMxTo0p//z1ATm7HUNpETN0tmQoiNVF6bIsoPP49D66FIXRkdlfWUA/nBSvGUEkKo9c6
oxR3vWVTUDO5kpOZiSFSgsT88vfkNRp/avG3BX2p9TnmGxU4ZOm0krJ5kLDsb+qMQ07cwvJS6yag
vSxxtCgW+idxjDVyXHkTeZ6bUhOPnWhkournQWWSyX2Va4KyZ3y7V2sua8m17yUM98rkappFMX1f
hD1N5BtqFwpkpTpELCUEq0Et9LsmBVll60xZlQ2XRpR5el/KQOkUwvnCE+G59xR4jdtJyn4nRcag
3R3T36KvZc3DHXrrKi+EO+CxjPNrQmsC2wwvesgTqWOKSqoDJPkmtfCj0901Zdn0VOgFEFYL9vYR
vlyxbJzW0JLooZ5pZ1JXUITW+qp5o1G/FG2VBK2D28/apzqPyLHaXUa6KuAR7VnSPlDkZnjUw6GJ
eb74U1tSnozg2Y/sRK7a6avOsHn/c6iZXSlsYQ3ou+SQtB0jAoygLbrOpkPGVB/63sgZUt0k/jxt
hLvbGHM7HKEh+VoZqiry4ssKq/kyjUygH6As1ybhwawVP/mlcovDiMpwNNOv3amvItmkwM8Enadc
D0TtL3maVD8mB12XARP+/M6Igte50RLz5toyrxrXt/LeRzxNEdYzGc0UiDqk7+a0G30ty743cirF
sR2htz03W9Ia/QsF0k7mJm/VePpUtiaoxx0s22Ot2HKUVZrvhFEgB8VN5OnwstvCOEriN1NlrjOt
6eowVZ3DqIFy/M7c3Ek69nKhTp/VrGJimWJ5TfYMG+eQuAxtZsg07mcybFNsvMzt8nAUTymMaLTb
k26fviQC+BDac1u9heakL43bPMjL6guxXChvczMgJe8ArKsD0a29nLHV+3JM2pnUu1TH8Xumptjm
NhWZsKPYRixOgEAyKIgrkeExclpYzuRBu9nvMh6PRuKIgekJDA+SY7L9N61AP6jlMCGrnX5rATO8
TdcLanA+PNBGMVe3gICYN2nXkjCNkh2JU9Z/B0NJmGTTQe5lt7LsC+BQYfIBeGyPuenHP7SyGorQ
YQLUJD7qQQF1AX05o2dF9tQAgoH2uy+09lfKSzAIbEH2rap1sjHu6vpoSDxxmrs4F5kkcqiaJCja
XTXQ91s7Ha8QQ3cLRfe020yJ9LSFnSgMsuDQRKSEQEFLFo11Ciw1jA9WmbsXO/Psy0I+TArE8/1n
L9HGtn3MYqWMLdyGZfTS58rLiVqIyqFrieaqo2CcaAYchhsTWFAtbwqmN/eM1mOsz6auRyCRrsXY
+OpTGpVjuS+h7WD4mZTCcB3ZMDz31m8zZZR0t22iUf/T4EWMG0mMa/HFCOU6f04Nuu/B9QFHAlpI
O2r+W1aYTmrLHUNhHYZ8dd2NqMNh9zzyGG+/iE1eJbsk8XX5pjZnWnY8lvjTaFIojMJ2LA6VNzGO
Q2OKu132pc8cRr/3T7rHQDmL3oKtnFhMwvK7gopOajA789kMtTTekNuq4AmnrJ0H93rR9bQAF0qp
Ct9kpR6LX6zp/3B0XsuRKlkU/aKMwCTuFcrItkyrZfqFkHTVmAQSmyR8/ayat4mYq5aqSE4es89e
lf8+hzV2/8EiRHLmz7oQREu1bBlKg8Y/I6h2mttp6/LgEK5k65mCZje8+4sXCycVbTv0dyJQSfPs
qaoZ7txaB/njICu73RHi+vdd0pN9LfCxz7+jvYrbJ8J3HD3Ng7Mn76h9Bn2atKiiQ+n2ZjuTHG9z
amyHLPQ4iDb/0exrjo8IU6v2ZIvKJl8cWc2Zy10ELU9j6HUQqXNZAxIUI9/DUe9m9H8qacgPU0HF
xKnmjDj2SbH10b21Ta3q3922D/tNKWo5QTiweaNe8wL0Y3cl1ymcopMTjIV1rywFXg5ffY1roPTx
tjo/RkFluYDIXLmIbJqF9L68EeqYz3p8Z8P9wA6GmUCezLoobJokJbhzuK/lRXc6lv6AVTjchqH7
iYBZY5mt42G6LNcX3px8DtAD+9eoki3e6aHmoJcp2q899DKlNz9Ae+Iu7dwRO2M7nuPYNCyYJ24y
3FciwB8BKQyY+lhbQjjigmn5aFF+jilbUlhie7WLrb5C6YGKElTonAZWVwiHECjJ+NUWjEZf81W0
/+GwXse0RhujsmDp3VdX0JfJfM4ijvd44bff07JD+Pb4tw5J65T2KexWe1XwfuV3qsRHPSP6DO+x
y2g3nXyjPiZkO8/Npuv/wiqY26teW/+pX1eMubUDdpGLf/woYtZ2WTKcwptuHcrlN8lBzN1fBkl7
HnaMLM74tOTz0YkgEWa+TsbgimEcwhUEve2rdiMe1raL63HcHBfCRF46gFKxM8iQ2uE1EMAVrE/1
BaFIObW1ad82+yfYnyq57mdvkMe+nFZE1vPcHsfBVSBMNhfyn9MVZ6odTCZ69tscZGv5ADCw7bST
GWThh5EByXJe+RwfPmrLJhty7pgsUIaHUm0NBkAG3Sq01XFd1PVUmWhLpYnnBjhOnhQYBdnVQF4H
8HyDC10Du7TuoivVjrPFMGaN3QPM4iRP3cuvyvCcUqg63CWX2QgmVhx861n4L0tRPhPuvLfJ1/BV
vS2Z/kA6LP4Ehc3/leyfP7kjbhl8I0I4J7hFiH2caHR4H3QNMCOBZZhcYCp9eNfnrVVPWu/ddPbk
VPfXVrOFc1r82bN/FPvqwwECkqjSOphWCjHN0QynpJXHfIuBD9f8zMPlOdB235Q22ZznnpeRlujo
IHfSD5SHW8slUkcQA8Nu8T6TNWhvCx+biwPaZdDJ7N3M/rkCg8du+l7VfzWPpsqqtREnv5oacFDY
IZxoVfYdwr5WeRlI6/ZUy4b/ScuXtLtQcVemfu0Wr6Oq6/xKFvnqpTBekHRCWkl0lrhN/6AaoCAn
UK1Y1yTTEs4nX08OQ3t82pMUSKLestKg3U1F4JaSV791guO+tP3zGk1t8LtVRQ3hNRT1nLY26qdU
lYO190FU9CxSFz7Kpq5YI/egeZ79r2F3vCtd1C3NP7+xOT8kJAlltLh76rP7Y9I5mglm017J5tS1
Rjx4iKf0l6uhYYmYmAlh2S7FoSwG/llfQaQ6GhLe5joE+whppeui2wSuqjzHDTGcbD3p1I/afbv+
hPjivLdNz31Sw6z2D92UJONp3guHz+JOXUa2JDHdXhF03IAwCF69YJvimy6nt5OVvime96gAKtOj
rb+1JiefNOtKXmf2PoFQoWVhM5x5EowVS1s9boPn/Z1kUt5VjQaYOTt+MRMMk7rKutwQGNfdlX9G
AC9/hVY5uG1cu9xnb5kxPggQMbTvaoQmUR3UNC/dL17LbcdO0XLzhXnliMeSVPZlX4TsD472qlvt
BksC3nfkv5uUhoBbFGXsX/GoAnPal3KdOKpd8gyjpKuPua1moAIU4+VVBSIkPCnEOCo1LCpFp3zO
aT3vIm/BpmjrvstVXCRP7GvWJ/qR0zHxjemhsZb5efeMg3dNUBTtWZBC92+gccB5xJGqsqlYiF2M
USLVpitLkO0VbFv9SAsOhAnDKuiOQzS77IAJyhTer7AS5owxoq2vOhmP/S25CqRvxWOpr9C/8u84
9RJMh8mCK0tZUSnfGKu3P54LJqzs9fof3i7l51qo5q4LUN+dfPCJj3u9qJcOBBVAJw7U++JD9zw7
ygeRoIRDzGzd3T9FALVJCpw8AbdAQuGfQ9e66tpv2uklr8i39wwQYztn+9z5zyNbdNuRHaP+AJM9
5C4Q3FrwLQLcqfJGxhXJYEdNaho/fPS3GouLnXWl5IQK3xlPIhoj+6fuklhdz1KRDs/GieBBGe6h
dKo6fz722NJVaShE+VEXrK2nrPg57Uu9bJB/TTvk/plQrO8jJuMs8fp7yGLNkgAd3WucAJBLJP+c
0bP/nFkk/yboYUtq6nzYssVZQIRws3CfIaGDPSbd1jvmARU5ypaLJaR12+FzXVd2WYrSb+H+Jrv/
zYyJsmdOQA3vsxj/xHmkv9puE/6Nz/752XXCGFpNGI8Djh60nU/spqg+q4McdUlZDu6r0bnhddF7
8Tfs+vVXuMv8M5k38bT43vKUiGRV556Mx6Q5bUx2oFsGXMeqrofTKtupOiaujXOAS9V2vw6NdU6N
BAcWYTqqYH1v83ft44KAX0znXxhUXnRunNE4EDWL/XNypGEZvo87e2XU5H+tKytVbO1s+rMneOzH
aInre6/2nH/e0q6/jDA9R2mYwk9TNPVLGeCBwdJiM92A3CBFChjcQD9Fn22uGmS222FYq/afHRzx
1U22hqa5b9vvSv+fDab3pnyoq0Eyo21N9+M2wIOzdUuUOm5g5WgO2Ga5Fa3tRwqEbfhXhDL/u/l9
8bRwhT+GTTl/lDPQ2dTwrX1Hwzze2haiziHpeOYpTi6A4BqweAp4cnlZzJUTjUMHwJFljlouv5KR
yjutLdzljHz2UibEQfXoeq3tTr1TBTsiJ+yKTmba4MfUQxVEZ8ak7kc406dIWboXD3IMeN09Fiuj
Q60p2w9w0nmTZWThs9bIFmImW2JLjqtvWdJQ1uob+LO+BA9GLX/04BwxY5XzDJGF7xqWezuHmV4g
0qfgDTlkuZHyAYxs+Urvs3lZvYXWD4XfMqV+nwxArPFYCNM2jO2zaorgx+ikuV+naipubCl8eUxi
kpjTaNsY2jiQRMYcObQ/d4ia+WRtkrxwp+vqYIKquwXmbObrEebNX218cW9rsQcnNy7Lt4KEdbmJ
ijF5LpMcvjZfL1sEk2+DPNvKYTjGro3U1eDKrs4K2cv/4sG3qIq6vLmV+7i/ynUBEjgGU9hlubcB
It54MueW4ep6Mqbc35mibvaOaBG0p4RG3rGV8QyzOugN6WxfUNzlfHi+Hfgp7wsjnZcArPBvNbLK
m1YzDaW0EOQAB09tzr+mqttbFvouIZyGVXgaDRi/jD2Z+TGaN4M9L+4NfAH7GmY7EocHPNx8m5X9
Dm/JxCIcjgwH2wDKvXSuA7PyMRPWHLB8bNcoSnmf5TfTxPyP08vpTSKY/wuKcLsFo17bbC6b5C1e
jf6P5l/zOC59+1UHu3+t+Zhjxkie8tcylsIPA1V/cHDXJL/2u6mJ+b3LxokS+bweczhoXupKiOQZ
OfxaZMoLpucGoxCKfQ8JBtEzGh4NVSqAmnysXdRAIvhrtim4j8J6/EQJJd/8SMgynWQzf6mpilRq
G1qe2dTqEJu3AKZkOi5T/JkXsKmPS5kUd2Bo7JhufIn3+aKciuUpu9z1S0GS4riLe9jyqNEsbsGl
STfqjg8RlNVHXIWSvxv4rQXT5uqz7OtcpZsZLSUQi6MU/7AAh3MOj/o+jy/sj5Cx7wxO3YuKbCp1
vBzJmrYuk9NevyPEzx+9JVwNuG3arllbXLI2pqz6CryPwe22DyMNnJuV/Jt43MZPz2zyJdwTSewW
e/ekuzl+Cwrf3a4TVagXuKP6e0ZEfY9BhN5OFbw6eJ34XLw7lt5p6nEDs95fDe5zYzqugLzEIZMQ
G0ZPtnOit8XvKeXQCcvX0vyfQQbQrj2Eo7LNzezU/m0zUSST+/p6OfidK96r+OIoS82QU5DGEkuo
iazlrt07GIa9bAaT8oqHX0JAAD2Ww9pcsRTQcU0VSj10PvUEfSDm1+dmyOu7cccK4ZyLxL2OJxX9
FK3sblCok8U0hhTDnWMYo7WIhgNC43zNbCzi8hBDOdL8FZIQJdmMv6+Ybn2vzQzucJ61dwpCQ0bf
zfUOQ2scpw9nWJPHELUgavoO0xHAam0zZgk2j7cMMwGFMzCtfhetmvusn2GKofSHcMdaeD/4KYzz
9veSiGgFwNT7ezZL197JuNgSrsK5eo4x9o3Stp+r6OTHi3viGfc7mRvLzK03iQ+UUyy0s9buTYeg
Caa7hv239UoxlnqJxDqWNxB3uBxL0uoyJRaJq6R0rDk7RR9FhzGI2UMPCoKMpFl2k7vN/jDNzZAc
d1uq263bRnCSY7D5aSK26QEAM7cabDemmc0ydldVBELzuKugfA/yfv8cEusMB56hulvs7LmHZJ04
3I3K27dZqP4raRuJdJMM5Zu5wnZfR/CqDtTM3a/ZbqJ5dDBbmAtwuPR9D1b7EInSfKnGD9ffWtKO
apHLL5l7RXiIu3jYvtQuHEiXauYtECDFeBtJ1akMJ1/5Z5iIEUvM1Zh8h0HFUHQYp339WPPF/R0z
qbzajFPy4uxmedftmny3i27KU+x23Sv26PJt0aIes9UX7YdTceumDhX3n13UCbZKYaJP7nghbSbh
sjZHMS1JfLRL3ldXI+3tKfU66e53RZOQs+yUxb9DOdFedK3H7r9Pz7o5VL2CyV764OePcVxroJn0
638rizUCBul7J1I7lvZjljVpqBe5XXRsG/4YgLIDv9rGA/BXZ9/sPcnzQC27wX3MWjp61ZH9+7al
p9YPn2IDllV8N/ulpbA5w/AU1yKOjyDYUDCu67Ct2V4FHZ0pGHBOJja7ay6VfuxByrvhPw9mMRpg
nkPlXQXJ2v8d8gVD0zxaBj+jx0xZs0U+lHctQt3fTNITDZacvk93CIs+usRjX8J7BFL6uNSrujPA
ednSmFdKoWIPQ+orO2IVX45zv548jxwjLcvCp7QEMEYvnPW953pcPIf/3Ohfrl+Tt2317rSnna6v
zMKuCp9aYI5g6belp+Om2ugX5nZ+lM59uPzHyrtdUpohYCRDHnN/aEfwnenYJ8Wj2bC+SWmUQIU0
yIDXQ2AxUM2CNolHjo4n75s8n54TSfWezZvu3Ev4bj4rKxfCNAZt/DjoRArV3DUv3g5at2/tbM8I
8uvHqStc7wDEzDzNCe6M+FvP+Lp3IWjUtHLLhUzAmTzocUtCy+i1LetiP+x1YdxM667a75VUlGoB
1+CFn7cE9tjvApNMAY+xua3G2L0a+342aY9u46XkVM2pFU1c0quQgEFXXfFCVWxHFKnVk6IQDYPi
vBR+vB/wIO5hzOf1XKQxJtyg+ZbcfsqumZ1zSZV6TU/Vf9DRGv4r/UQuxK1i3rKJAxSlQdPszknt
QIMPY+6ZlzUQrUhdt9om3C9kEzF3qaI269seSfeG+9WF/UyJgoD3Acmt+rXikBZk3ZqsA9n+Gt8z
Fxr/5OjxHBQGtELSalxBkMbuzCCgWocdqVw+uY+eW3E3Na5svkRZ7TQlZaJeciQB/bGNRLJlgvrg
ERwpmRP7Q2OZOs6002feQL/BBWdzd7ZMYlI8z1kMjchcx2xhrNfyJHdNAWBlMDKX6+XvZHSpq13W
Kp+Z8gBpJM9eSISWBfqkihlDbdHcPy4VKe8B62113aqSHMMUwgwHs5bmy8s3pyHfW/u7WrWNe+3N
uXgZd+k/IS/e2zSY84QOq9ON47FlwHe/64AGWFkE85//DxngKCb9j7eM9kF0+fwKhnBojsk41D+B
r7hOe2P3r3UT44O/deXPoDHpoDjw84d+60JCUK69V9NI/HkN3aeryNPeN/Ro+cZH5YwxCt0XSIjd
+DfqBI35fTd4ai2gKFk6xqwFs7Q6OHLPyQeGZtMzpereZ34RbO/IFMTfjskEF1lS2iltFlfU99iR
Mk8q5sH87re43M6RvwM36L1o/BkdXFnI1sMfgR0k7PUliH953lrT6R3t9EdYEJZ0oxfnHpYzkcaW
Zf7UcX3O2Tq75pbhCPu1aKUjkebV5Ib3Ntgl9N2tbZ6su5Hv8iu7B8+KEONCw30XR4ZgNaIsfB7i
rh5upzzyIJx6rQkORdTQpsTEOvaulkFihhXgoQKE0e22f3xDl2BFqqmynnbqq7uWNEsVDnhAriVt
jwLzkeCKS9Clr92itqeV1+ondfESOCWdt90R9vyO8oP0Pg1jof/looUn2dlyoBQ2vn6ubTKtGSPy
ajolEsAkC3SV+zSSgjhZiDrrcSL9B1vPQ2H4ZEoMBS+170iSXViM3nPgsKki1rGAZKpou5bs/P0A
zqxl2rqLbDMOyfZullq8FC4MdKa/4/jZqZxurcHxRaWLNf1jiMnp98jN80Cn2X3ECFh7jwNqlJyW
XasAbFyGwrbu3PEtp/PnnGt/Wx5bx53aWyjY+54OvF7hiXVD5n+1uHhSW8bix3aayOX9uEoq5EOT
qDL0vOUX2N+aRJZ4xvs3KsWYqFflo8e+63IcZzMei3xiqm+l8vl+N4+kYmyc8EkxMh34qiE/Yujh
6S9HMYs+dhOhONtqy4mNtRP9m31ne5bbYqbbPg65cjZnndwsMoH9pA8eyWxC8XwO8bUtryuJAv9y
zeF42ffaJ/3TBX07jGa8PKOtu7/X1rgfm2qAqRpPiVvW2vVPGK00nvHhxra1Zur7tjSRgTXutIzt
gyIarttJ8C+D9x1IaWXUBNmg4uAfc4+AaQfCgct8uGWrqpMTZRb+8M43vRPa4h1BzWSK8aF3t8Gl
/tMIyaxfgCWsMsig8aWPnDN/j0r6vwfc4vSzWv3ty2Km8cEHgsNCsdF0x2irkzCTg5nm84ot/A0N
H2dNNUfoN9lS1xwKPxdOpuNd+OfNnf0PJ+iqVxSx5d+F3uwHZp1ueWY03b4OdRX8jLsubUrSA4dY
Mpv76vUg720SD+t4DEzifqNS7/fUy2vW/IFbSHXtqGZ968DXBTdeCWf8MCMA4SDjxPyP99EOdA8H
5sSVaTZSPHQ2OJoD3u6P01jJ2wk/CcZNtpM/ud/SCXB1nB/KcQ3XU1Tty86cMXAEFYMWU3GPUK7l
MzMZEJnlvG4nvSx+A6dYiZvO1Q6zZFYuf1S/zk+w3UlqgWTnQbbRrvaPQRfYOuudxndu97wZ8xTr
oeBDeJaJUAdcfT7VFLDPkRJunyUBBOXraiy9F1gv7P47bkluEGlcWvTs0p0pLnlAWuR5/9B0ft8Q
3NfutxgZj3FL1xgM724fPTlTaIrTKub2b9STHWVVR7M6bUQRcJ95Tf8yDzb4Dydj+jOdWnSUjtC6
pXyXeBW69/62efudGmFCpL7K6TaZIoge0AX36hBzD++Hco4HgpIIFhboDP4PpwJES3POmyGqb6Gr
rnSey2F2jzIZq5daFRvtnmAV1VFr9jBo53m0lfs53DNvW1Aqu2pXr75D5ZC2OFYU/Pi4H8LO2+eU
K5IZx8JN8zNhxSsPTHzcm3Btc8WyUhLehCoWlob+an+XfJWv/b6zRmzrpNKZUMS+DHZyiXFxp4f+
REuoeJzKiwNHs4buq3DK5Y1lFl6/bsnRnGxtb6dDKeNJZoXoUV/IPPaup5r37xOdAAFSRh2DLs8n
2CrSLF7Ozhv71K1oMWBfgj4KZ8SJIrYKhxn6T+v652Zm74TbIMqP0lJEXEDXyakzs6jvgm3NwzS2
jq1gruM9lDUdDdWreAuDnz4YyreOkFLyJUTLtXZJiQ4xsif5vKtmudskZOY7sjMg6L0TdefAdKbK
gqBFR0PmQLfGdY07HlrjCRowe8HhKYNAf5ht4YMMflU8tRRdb5aagC0iobEw2OM+/6Piot/Yl9wj
lD9cHfWRUe942/ekKaeWnrrKmn4bFxZk/fGXu6z6WzQiqG6tFwZX7Fcv36FpgqPjlcvwi9Y9M6+Z
tceNoDSE/0BjV/9tzFZ/Grqvr7IPkU7kPZ49ma8Ksrd5IDU/VKaXDzNyD0RhzGBxSjKbZeRgJER3
D49xbDXX8TOqNUFwKemWc5PM0ZjVqpp4FGvE0Z/jvpNpV07yNUFt9FlCFn51hihe0tbr7GeH1bR7
qEsjnsgn9te5Hvjjo7j9I+UyviqrnSQlVrs1a1boThCLyZGkZSsARLtr2O3Ubvs0pxUWL7QasIen
zdVHY5y6i5WfgTvLP74TLU9SUKCmU2ymb88pOvIRiqD+kDPWvG75gKR0+eLfVqSkYdZUZtJoVnC/
xs7Tx+TW9IgsePXb/sxdWH5Fcg1mTKq33cfJacBaQ6KEqaBqi9jNEANHvKs55yCrPL9CvYwrGPPz
Ho1WeonJbMjwgGU6Ao6662LanUzkVP+KhVTzn7Jm1IeabPmha8g8j5spesZajHdBp9dG2pOtGWsP
NmyHbIuU5JPl2qmPe84Fw2w8tn975ahPCgI2tatW7C+euzlLGothfZHFVj97mwH74bkrUziuDw3N
3XpMppt41g9mzodfrfT8P2NHpf9E28mX2YDY6u+GtvWj0Fv7ewoVKTZC8BoZWJX7r2WwaXbst8r/
JRhzl1e6K4ZPkNIX0SE1iEpXjNrm8+J0SqRmSbgvxLbUjJMYJr6EIaKWuoSQkq5DN/8Yljv+hpSg
BfmGz/vpkyQUdCDdfUvL2ErkVolawswrp+CpilBacw7Y3UiXxXOfrL/apxbkWE+7UtafCOcoPLbZ
/GeRL7dpOV1O7jTJSl/tvereNUNgDnHS2Ari9sQ3zrygTFIaTbSf9lCV9yUC/ygbpQewo1j5odNQ
ygXMPfGM0OaIrbmSbY5YaCrs/FRMObKK+qLmT6Vcyw3Z2SLeqcebBz+gvc23XYuHfpyLR6SgWOLm
bievPXem7zteZEm8ZEGA7aPSS3yIaKS90kjsP5xi9YJj5DT0Ys1Yub+QRnZhBkqOZhU1Wsgkunaj
LSO2Itgg3eqeNjbrqoMYfB5yOTM+PnDs3TUrEOa9i9Lv7cEvN+dqFYzciduF/Yz7IH8JyFz4nkKx
fLn+zmSfNfcKsIsbbBTnYi1f3bwK8huMVteHbsAH5sTxJ5ihwON+1AHibaauZijI1v2RHlPbh1wP
mx7vhCSepNFczOowN3LYUxFu+QNLHebZePH8ZeQsxysXJ5DbrmH8Tramc0aRMvikd7cS8qKxuNI+
e/P0Xyt9dtYBNY+Vor/lo07IGSKvLDNATmhywhVJi8gtDk1OG/7rZdmERzGa7vMSEqjMmHPgzk32
cB3ltsWskBnpxxCvLqsOpV903EoipiVDX+JXM7JXgCQmzH/tUQOnb6f5hv6g3LU5JLkuetIgWd3s
QUfXus8Rw9O0QPFxGsSmfqlEc2G2QO09js/o36iAORNONo5uqJtC9ezMtv5e9R79LVn0RHdZ+s7b
tA8UQkGDl460JQqbwnNYYiwWJycVD43/xims79D7f9t8aobM73oyvKgiJ4/22MPnsWucq9rr0TDZ
ncEmQboeymMdk6anRlB9pjUjOgRGyepdI8Qp4yP+dchdw074nx0COCKUz9Vbd8a5KqeBV4Jmf/I4
eb3/2NN17g756q8fg8dNyeGT65fXDcxEED6Ft2ZC75V2ia5e140RGX2oNbhnkXvlhKOhLI8LYr4R
x6deUsFHislFOLrODQ9uRJ+hrHhRiS0Qr11EhzoAnnQ2g6kIsnn3MQYc59Wf9K/Oqax/VTe9c+qE
neWZgDqoLJr1XEqUErQBIf3QQ2jMjeqYebqX6SE6ujiNWJE1VzYJWmYMbRVO2Sg8GrwQV9imwP2e
kbbxFe8TDyEf0S7NQciww8T3aq2AlU0+LfF7ltboGHRWhRG4nxEZLq0IOhTcFeV8NH3U+CeIMrSx
68Uf33XtrT+sXJUhPltMmQ/1vA2/AWGJ5g49b3VbEy3aLFovlRRzZf4IJDJVkUbkW++4i4pb1iIZ
XUf7Wn/KUq4/zPX4raOaVHKgV9XED6NsaQLDLdypAXC1ZdLaxcH4xp5dH9yWga7+IDSYZ5Is0y/I
ZCqBTsSydqSysUd1dVXQRpvu2A+e7g168iWLaXHtV3AP+6p8YL5qvRdUFfsXyZZB9m4jmU+vc6HY
NzmOGGtF14Lx/Sfe3eu7LXy74B0wxvqQUAmjq1gEno/U1DS0i2gXHwlGZ5hxxWHyq1xUUqIAK2MS
aq1/T4zuEVM5lfMlkER0h71SQX5EEJIgh6IcbQ9yQhfEdPvyAshlw4LQ62IzZPEoppCsOkJdxnQv
eZn1ED/ti786DCh3PiYr18MZde16v5tpp+W2ExkODEOW5wJt9MJMyFUDfcxYvVaa0dRh0XrEywfl
H4mlajf6w1NAyBldRaEfIwZxkYnN84wWRZSKsYLg2DCzxZxR9XuUXw30kyush0hqM+14jAkZu3Xh
iaW9HsclDNLiE916xd3ke4zjJGpxnOBGQBNZNxqPQZUvit8kjKs5lvii3mAR49JVcTohKIgnju9q
HZwMhrrd8lRthHdmhzR5rvH6poBGZBKh59pr9zNQnmJBucMcEw9Vo+yh9Y38r9w7YqCowMukwm/p
yyY1ut90IVg/j83Q/EGM6PcYNDj21RRlW14Lkm3mGVXvP0WFh2+WdXtO5Bx2s8uk0HXvVxKaz6E2
8W9MgBMER2CP8mOT7KyM7r43/xrjyvtbai/CZKK2zvUeFLp/GBM9Pq2A1R30GjFCdX1J59vcV2Mm
nQUlGFm4YLW7C6e3rmyobWvMPgnyCDfzA91w+UQ4YG7EehkyXL9rhEDwJpZHwtRuMr9W6Br7Wsyn
dfj/PSDnxKTa0fM9oZHZMNqh/J2Fi+Zqwy/VHhA5MBJE2jN8bKzGTYcBkdtwA3HF+VfYLvbPjqCv
l9EacLlKnLDeDgQXER/d1afkxGJk/q8tvGkliVbFK8655mkrR8MN04fFZzlU+z83Z1pyUmOivhIu
6fEY8mIxfRjqeMBYpo7Qgm6kmRknngG3LAXvDcsKJHuU2+qbvnz3qfuoWlMXw/dXJrf0ZdZp3u61
XpNPHF1Q8DAlDgY6/3uNTNkX8X9N3e5fFfUUn8rF6CRd2sjIrK7qYL6M8AKTOVXU/K1wbAX54+74
B0i6c0w6q8vqxmQSBKKd3lsEJ47Dwy8Y1d1M6+bNqRN5yOlVL0WJsqguxmPcJ0ituVtgJMWF3BHR
62H4BVnM2Q6REzp3QdGBEKjctdFnckb1NmiiMkkccqPF6wn9iBzbbySm9aPXRTPawsprxREVeP44
E5/KjNTepTSr9PLbQx/+p2de8xKEzA4kt+Ndqxv/uW582T0N9bpgoJNUZrvyYmN/T+U0YW66jz7m
Pn0z5+dN+/Xz0vsT3aZ1C2k4OzsdRnIXrFB3L1bxkcpIhMdKakpEOw3hePBm3ppjMVeW+JisY3fd
Sest+DKvEJfopwbEh8Cf+b9Ltna++2rvRYaDmsaioXa3+ivWiCXOLKaZ/N5Q1yDiglP+bNHK/UjK
AR61+z/izmw5buRa16/i6Ht4IzFjx7YvAFRxEEeJGqgbBCWxMc8znv58oH22WWBF4dB2+9gRjmiz
pcVM5LByrX+QB4yZAurrvhYCIZtAvQBpaOX0x1CP/oNPdv8LqaeltDqNg8ZBQA64g3GjPkL7AN2R
wQJ6rKKRi7xuhX1WpUNCZxUiUHY+gun8yPukxK44Vhog8zocoEHMlXCbFLqjkyhKmoIqoTDi+T5s
GPJI07yjHk22qcME+BDXQO68CPdIi4ZBx/UEoEb9okxV9GO0QPO6aWqS5UIxrCu3ki3/Lo81sEXF
kJDk0moNk32hZsYnKVNwZuqg6t01kmhnt7L8bnBwzQHBVJpy8aBEZv0dqNks7Udzqs9CiLqzZwWV
f8mS0tJdUmdkpqmk5vfCaq2P2CUWj5Za6dK+B0jw3Ilo/NGHtJsossTaTTNLycdmGpingfXwVA4F
qJPGGqqLGp5VvxOourcuv5f8oM12eT5KsQ8ghuLpryaJgsepDOLvWTupnzMevb+6aswi2rGsOUdR
M2lyAnDZFJN0BDrw4bWVr2lKd0YkmU8NN+tnGvKmVZ6Bta8UlzdSUHAb0ocjZQac73Qqmmi7oG7N
mzbWpZEDPBU6VcA4/laXSfRg+4l9RwOR2svg+7O0lLrGwrEMCV7LGGk8AibOuydSCR4gCnhLpy2g
PTiwqvwfRkjRYt/YVax5E6gIG8RXO11qs5EhsSEv904sV2m00/qQAm0KtgOlhswyb5cXqM5R080X
TdEEtet3PVU+tJqUq6aftc9BwtnmIGYZ4TTEY2Vv1SVJDkLN9e8DNLwrPJ5bxetrmc55ZMEvcJAn
GntXb6sgdfp5kr7ptsKXHyfkz61oFg/qaKILU4HAVPh+JG645RQKFJwkt+/bxJ91h2d7SCrhC8E2
kRXp8xCp82c/6jsBNHypOOOE0D1pcaNW7jxQkXFn3CZ8Hqv5ROuN6tFdxleVANLywHYm1RTXcMXq
G8sOgB6bIiPfDzSznT06RsPI+U+jXmkmmr7zmAz+HsioFpynorHvpTxEvMO26d1/UPuBvgaN8cbz
22lqIFuQAVwosWZLTtPim9zmyKl4QUsDfscTNo/hIMZFca9MAoAA6LEGOo3PcqJN0ne7agyn0qvl
UWiuNcOJdke56556dZCG3dDVIt7boZ2w00LbIP8CijoDpAuC2BMUB6NfY0CJZtfNkujdrIAVT7o2
JYAv7EqJLtEas7ProY+sOz1K0spT+zmFo1WAtruF/EN7u4OxwGRUavZLJLlo9lM4+6M3jRSvENMi
XfYEs1h7M0c7GUdMv4qJTUtJUB9S/I9RZZJhVNhcSEA+e1KTiS38nOYj5ukRDJCPRTshZFMh+X+N
TEj7DfSsRjuyaIzrSqcD7arzVAIytsoY3UXNF2BwOc94sivxx1bEBkkzNVUweQMAbS+FSfSr8Mvp
c5GK+FYDny4v0EGqyNRlTZ6nRfm75fc8CanwUjWkjkgeFuu0blozlb+TBw6ty8MlJzHta+tWlGol
znzNmr8H0iBfoz3Qyx9gkqm/Bl2oS5kmBaiJb1BwQYk4nOmUyvktNANVgOZXu5CGO2YGLnAgdpQ5
xvJ9iMFB4haazAfrZVl/6JqaBnPVGTR6E7mxLyYpaIezge/9aeZeH881ahwXcR3SCVd7qknCotwJ
NIK7swCHckPOwCWSyk3RO3NDaePMiqoa+IUdFsFD1tm0nQDYKyCn8sS6N7ICWCyXUHBbpWCKnZ5Z
/gpWvb9dnn+AcuQUZpgkFc0dJEn/Z1JSS3Z7deTdoY1WCmAE+5RHO5zYzEEZTiZIrZQiRhYjortD
+U77mVJ2QwVWKcOHUMtb3sOyXT0ip2SklNvy9Gcgqho8hJ9QXLJtCvKg0/PyQRRgAThpQWJoOvrG
TtRgQO6xi6fv9mTMPdm9CipkoGirg8chmQQxraUftQhWg0s/yvihW7V5z83UqPvCD+h4s3TrndwG
NYl/Xaqlu5zO016JKfns4rGloK1bMxDJ0MpuFzTq5IVjNV6Tz+SNcR7Q2552IdIE1ZkoKum66blL
z5OiUC8sKiWKYyEmz8O+GEtx20AL/FX78nxrRFbaOgMQi+5cK2Yr+mCVUS4ozweteTW3Rlp+4YUg
fZFsyqI0gUoZdL4Rk++2Qyke03ymoibI6+OfdhD3ksNDDISiL6BMnZUVmPGvJkakNg0XO9c5GFSK
ZKBsA0rwwH+i6TPY0h4/DRvi0l4tYfI4RTfhOnua4LwWcsIcAGlPNBtgYylMw4rdnKLvY1fAfmgH
a8p3jF99p0uq7sxMhvFOklLEXCU/4HO1nZcmnTg7HX6tf7eENxBzxKgdmVpjLawEabVuAa1kDsQr
HkYpQObuXAYjqKJaW97SobCdWdeCD/WYAgo+HVwsg3tN7X6JrsgyPUccGSgkH1K7ARf7VZ0x+KDQ
OOloF3pxYCsuOcqXihSUrU3fuYb5tUvbQffy2JrO8pyXtzIEwLAnnvpgN+yt30s5/XtpK50Q/MkM
nYZi7iQ+1/+uFj6bOsOKcJfw7olKRuS0SAQKuvoRbz6Yq7skBwNDnkUZvjLab6dnai2V8DJRGBQq
6PYITFdX+gXVyKncaTyO8yyg8ApzLgDWkVKXTJrCKLzT0dZSFEs0lAlZEKiX4ki5Gn45aDle7uBA
AANbP7TIVAHHQZYynWjUxx8+ycWGFMSxZYgKojB0NGARMV8tBOCRTZE0dOEhAyp3BiATEl4BEreV
xwuwc/ZZmUPWLlRjw97hbWDNAGdsLCsQkKK92n6TIUETKUtogLk8LCKm0/VE9+wD6AgV5HbVepVV
VR9tPQ32pyf57Sc9jLz8/JWsglXAfAR3Q5sRjT+oXpSgo/JzptVKf0E1ipb66Xhv9xrxUKDRES1e
vu5KxqGZ9EJEGnsNByT5MgDZymVbFhsKO2+XDlEwAbQU0g4IB8vOejUqQkeqXbFz1EG0l/oCfLMy
cUlLfvhkgrbeWDfHJhG33sXBk3YgYlaH4XBF9e1MYqXWLTdYS5HYpfb4FWqNOH//9HFQazJqY0j7
rg/KATsEjaYmR0LdkcBzYYKplEsAlhvr4tgM8ljE4JyuEraaK1UUGGN1PUZcQn6lVBekR1C+YClH
LjhSyM81FeQNE/ejEbFwlyHaI7FnrvaA4FFfZR2HSxlKw09/orZmt/FSvKzD5A7dSWtDfOxoQA0A
yKJlDet+Ufx4tUgGE/xsEjLEls490PWwmS9Rsugg+Q/6DRiL7u79H29Rh8M+UdN0On2HASOw66Qt
BJwrswJa3dpAnMZq48sdW4y2bIMdIBUztTe3WVHrwWQtX0709v2Qo6jgjkFgSrsuJZHZ2M9rWRau
bOQfkWBCc3UJtlonhd2l5L3wjmsRZE8RrT3QoQnAlbm8spp8sTWW2v7L6Yk8clxydKB5JoClwPha
bW/DkEYxVgXb2y6rXV5CNWsmKq9qFu+r1LfQJIj0q0VZ7sfpwEdGS2AuI7z/EEFe38g+GPWxxZuK
In8vf4MZlNB4SPzolsUjfpDigMscYB36G9v+WFxMt1T0eRWir2cZ/ZggzpdtrwSAoV2orzSFA5HG
9k60S34vGghLoej4P06P+MgmQdn2H5FXU90rEfp/FUdb43fWowLPPCYdEv057mvdPoAOvhHwyAVB
BqrgNaMK7uC10Uwz2C2QwpQ2HmhYT0c1dN9J6nvV+Vi2Jn+/hnoYpzbas4dbsYbubsIuJUpSjpdV
25kuYD0dJL7WbRwzR74dMoMq62Wxy2RIh6GqVFbmQc9YM/D+PKkGVjbqNaTbiEbSfQlE+Vsi7C1v
iSOngL0ov+MOpOPALFYDhCyNoHPPFolYGp5cA0WC1uKfBTIMhdNL5MgXs8F72HhoYGqDNurhAGMI
51SQGKCfKppnt2CYhkrfknx7G2XxU8DBwFqMXkjTD6PIvYVHR4XLi4R4wG0yJGD5wrjfSMSORFnk
8fgvZ+ciI30YpYOrkuW6TVPaBB9ailwHqRO+V1PZQleTRAHbQm4CFfGswyijHPYjzwnsKAGMZLc1
WjqFV9RSG26cG29XgY6uqi6rSGHjarAeTjYksHOg4wOlbgElu9E8Vuk3MONmNcIsmwZl6z44MoFc
BAJ1fJk7DnD54dDoZWlBruNJMQ9orkaZUrvAIzdkh98eSovQJac/aiVkkfbqKynkLcOYU0hVZD25
7NsYL4ogpb8al+gfL3zucnp87yJHZxgdegDxaBu+eaHiNY+rR0qerKolT7HQKvflNI7e6ShHBmZa
CHlqMpepoazfAQPKtEGdVDz97YpmZRqaVxk1C88nw4MVG2yZ/Rz5WsQzFgtJBR+R9UIsDMXvk8V4
RwJ+5oDfEPuGBObdRzoGJfzlXCSGbBjG6gQcuTOGIuN1E1YmNTMqbgHsCAXhpLPT0/f2qEWjDRV7
DZ8SG6L8MtxXGV04KLk94Bvt+Go+n+kglr6nEt26K0nhwXrnw2gVTlGFVDVPBz4yjwgOUevTVY5c
EEGHge3GgMAPo8LpUtm/s0bYXE2cTBtSxm/THqprGtw9vHUswSAPo/hGiHzWIhGq4swHDB3JGShB
wyeS8+qqlFKqAbFp0/tq2mxjZo8sTLJJvN90rFd4iq9mto/kqKrwW3EKQwu+wW/Sv82drTX7tECT
xDESsFP7988phxcWy1wqCof/4Whxz0Tcq2jheIetdBPrGhLmZTncnY5y5IQE5ICmoAKpy2YnHEYp
yhG9AAugmZ1a+RncSb9d9ABMeoppmukbO+HYFzRQW8MixZYtpOgOo3UqxlpgYXn9WmN0Fhsa+L00
khDX9834Oq+D6VqnNHimksI/nB7osSVq4kiIZ4klME5ZvvCrvWFGVMUDQ4dhAHjqTqArtSsm8U6T
eI2bjaSDlzePD10lSz6Mgq5UqSoSnyozEtNpAEh8V0ekSsH4VrTnjGbjgjs6Kp5vyOmioG/qq1HN
SLYU0BDZ8VpRRh5M+tIAVoYQ18YOP7YBTGoJS5LD/67fw6hfAT1FBQKVGB+eAv7CtGKawh7T8yTT
5ebjDLtoqwJ4JOhitcLriskUSNwczuasAIUuZ7g8E75vdL+giU1g7Qu0c4Is804vkDdeKHwxbFAM
hbRRFny/1eIcMzsMDFoQjs0myHZR38rXw4hmmB21+blv0SISUdXQ16XnDTaXNpQTTCaNvwxVPPf0
b3Pkwy4nuIWctYFkxlrhNxzAZeL4VICsqYMd5rgA+AJl67FxfMyvwiy/xqtdERtt2ss+jjb+PI+G
U3eLnBb2j5ruZqrd3upZKF3IA300K0UUt0xRG5L6ycJpJ5Y3vKeOfW0NswiZ1w/yu/oqKyyQj/NN
jSHDGUPMFKzqs1pXCYAwObjsGzFuLOljU0zBW+bowyvlzaNSM2ZMItBedExdrVBagzNkTtmwMaoj
ByxZE3+/xSNoEVA9nGFwwVo6drwOEM2rHn1Um72qUoInzLS37sejA+KlRW7IHYyK+GEoBJiBBQhu
4RpjcM+vwQPSnAk3buGjUaCRcAzAj+CDHUaByeSXClaoWP8GkbVHmEjrPN5XcJ5Pb4FjM8fLjbVP
sR1LlNV6qEmwLWisBJJaeS+BRffMojfvSzjCn/6ZUHgx2BzfJhI9h2PKmrFpbYmPVI5teWv5bUgn
0wLEC5ZoiD//E8GoFPH2kXmcGKvPhIBNSO5LOtjT3Nh3GB3tkCZCf6RNs/3pUMe+FXkL1xHC7hbK
O4fjAsGkGU1G9YKVmd0jXmHdGFa/5dN5bOMigsyO5RKS1bUVb572xhTNrLu8ATXpdCBFLzgchy8h
Val92cHvOT2sYyuDAh8ARXwjWYrLsF+dWmoLTTwzaJehoJW78Qwhro4x/sLLKtz4WG/HxguLVJNq
iUn9Ql/PII6raQOieuFPA+nxq/vCqi/RoDPO5TrqNwZ2JJqFDxW12BdLGXsdrVMlHMRpo+uDZFwG
mS09xDYcDCpb8x2ifP5G9vd2feBpJPAB4lbnyF0X7iPZAK4vFdDY6aU/lgsJIlOV4ePpz3U0Cm0B
tvGi6mytLlZJ6o1xRo8JPBuaq1of1DcAOLd0zI/M3ZKZ0Fyhbk+at9rDVM7hQ1mg6vN+6u+E8Bdo
BDzfSy0bjK9K5ae/v3tYi0OiTBtC1VHHXgVUjbSOgpAEHU0xUudM+RXl5jt9p0koyc5xauJAp+uo
66vDQpGQl8jnnjdPoaKb26AWQ0VZy10gF1DSZL7ZuzMPznWdFyuaWiR8YpnnV5ur6ks4N70Nmi+t
uitzjv1ruRvU4d2nO4QKGbsJQnC6r/NxKwPXA9AjQQujLXZZkj3PC6SsNuItb603yw8bEp6lJh0j
oeBGsrpH0PatpU6GeiiqKXrMCqncJW24VZM/FoVNS/Oea4msYvn5q2lLyfoXgi0YoToFkRLVanil
RXq2cfsuJ8BBr57B4FKkUKVTWeTrpg1oUyDlJmHqZFArJ8ktNHaGaUjU674rwQTGjQ0mDwI+ZwwS
mtX7W3BcJ1iG0QLnUGSBrM4oZMqBAyzFO4hglmerw3MOxPj8nXtrCQIkgRY4OQZsnsPZjCmsj0ZI
EKSd/A/wX8DISIG/Ydi5HDwHk0k1dTEioV5HzgT44jBKHeVN3TbG9w7ucVlI90Z0nsnmvhCKg2sP
aRRkMownNlb+myrNEhVCEyVjihk4hh5GBZmICvBofB+7Szu0rrJ+pxS+mxqxN8/fTk/jOhR1aV66
vLMXVAceUKtcLUKvYrbtCbaxMQY3qKj4bjdk/QcJ6fadlflA07izvdNBl2/zelZfgtoWOa/CfuAm
OxwfjecAAWCChpCcBgAb0lIORTfJhUm+BZJYb7t1sNW2CyZhWsjUQQvFP+sqzCGyzr2a7t49pKVQ
DdeN4ieZ7+oIqYsCrzV9wTaGPhB66IL3lgBYF46tv7HBjwzoINRq9nTD9825IhScxwGiROafIdry
3sSQaQN7gNc4L/mlSr0qpXWdCEH3o/pIdVk/G6ic09Wazf3paXs7Fq4smBZ0YpYKk75afjxIUAEY
eTwiAeo7KGU9yol4/NdirD4NzIk51g1Iln5UlrzHm3AHlHLrDnm7pilBIPmK3y39CkNZnUdjKrVK
MCPRVjS98UuM6ESkEH8XvQpzy43ppTd1uIGWYFxUS3LB2bRaAgPaC9rU0yGjXY46DZmpBAncbK5q
KatugPIW+9bounNEZRV3jGLlAvXd9J0nMMch1/LyHJctdOzk1S+RVSi3Z6H5zY5gGVTIN7qjkWzl
bG8WyBIEeAXdQYWuwtr4PkNOBnni4DGZqszeqZWqX+a5Ntkb1duXOv6rGQVsw3+Wwi1ADrw8rdVC
RFimp8kkAbztQDIC9RNXyKx1N3oX6GxiqYUGNeqwFiE7DQnGIjCJu+BCR9jE5XfbWk2rYS/YH7Yd
5BweZWSs9irFqnMrH8pyHJwZ/PFVPSbIIDVqu1F5OBqFtB7jWdob9roor/pmlORk846RwW9vmGuv
SyXxvvPqZSz0m5Z+w9JCWZ8kc4ELhJKHnIoh5iI1pO8rVZ63+pKr/fcShacymBFwHTjurFZjZOUK
qnyoT8CASJ1GS9IPIwoJ+wjq3EZS8JJbHC4WXmAMhm+E25tqrM5GTUNN35yYtzCuHzq4Q6hxqWez
n5yjgnyuF/X3Lhq+dwITHs3/lOvdt5HG9kRaWbXJBVL3W4WQJQ1Z/UJkfKYKXozHDSfp4YUKYQPS
r4XqvixqW33OkJRNLvOG5undUGEItU+iOVM+IjMX/ZwjBK43kElHFhJdK76tQnPbpHp+GL8SkxJO
y+4JW0O6SPhKVyTB3afTB/mRT3wQZbUp/HpWOnRLewdUG+LDRlF4wJ1Lrwrj1Dsd6viAbJtKIxcU
GeDhgGpYs36esma7OQj3ij1K+1JBvur9UTjIcYQ3ZHoea8M5G+OGFDU31lERx98hXTc3Ui8ZH09H
WaZlvThMWg5L448bao2IA8cRlH0GaTuJRHxWop2M1Jic0nNQurK8VPu4/3w64rHlSNVABsrFtcBb
4HD2IGznYsggLKoU/a5HoQ9POCxIFxDI9bsMfTpE2AzjzoA6456O/Pa7AbznHcf+x2eUfsdhZGmg
gSPVMUogllZdx0lenId2s9VTeTs+OlMqXSI6VDJPueW3ePWSC+WqN+QymxzIfh9lQ3/qNevBn43L
Hi0Y1F/bc1Or3weS4Xwjpr701kF2WLRvD2PCXxp4zueTU9VmFvyMEJzs3VKokeEiVluGntLR/Tlv
cnRyNj7n2wVEL5WnJEuV5yTZ2mFooDihbSeEtgxA1Orox7uiDKsdRkmQJdp6q6KxfKTDBbvE02ix
8LgDgrSqBk1i9rVAQVmnGRBRUMYs/poGgb8HRR5DmTTLc1SN7fPTK+ft4cKxRdeREjxeTqqyenOF
M5SqeVFqRBpJchO5kLxEa+x9iVLXuw8XQoGtglrK2wfQyeF8Ikg0mJmE2k6mGn3iZWnaVxd5uyiH
nB7Tm92wIFqEZmgs1qW0sVoz0ggX29LhbugjWiBSjUZWmeC3djrKm5lb8O6EWJoKNKGt1bGspvD4
LCwKXHicpSe05Dk2RetlVdpvRHqzEF8i8R4mIQKSqquHE2f74JhnFLNgsSFVuyORQ3Y6NUL9F/w1
C+W2Mtb2pwf3ZgpfwPw6I7NACVHDPgwZzlMoI6uEHulUdRdon2QurKLce28UKiV02WlksvTe9PJQ
Ju1js4L1bCeNvqvCHlaob8wbSe56X5GsgDAxkb7A3QXhytUSh9Ml8I0CWdL5vox5EQqcBnkLVnmc
1LatfpQUcyP3exOSki6PFBJ4MMvUdldfLBWmOqoNBJGoqYU3ooGuu3bRSncCdaZb22oXzbup3Z2e
zvX5LHiEySQZL7uZ43m17sc0R60gx0xKu/fPKkjfXwDZXvobUcSqOMRpcRhmtfBbSy3tMCZM75EB
OgB7d19n5+fnm9C5a7wnkgcHob+NPfAm+VxHXab81eUzKXmSNhFRqfjuo3PhPWTu7Dz7TunITrFX
nHBjnFuzufz8VUBI8XEqLdZc8x5XDhfJPjd3y40d8OYBth7W6tC3MVJkeRJlcH8wo87P3Ln83f30
5fTKWLez199sXS0no++MKiVM6X3/kntYrji/Lu+eTkfZWBjr/Ccdh66XE4K0+8jp3GFXnKnXirf1
YZZl/PqeXE3Zuh2uSRjHhHSdHJEjxNz7QNeLurvsE7PbSFRf8qZToVb7OGvyxkTls3GqHUJXLrUU
Fzsg1/IM7+nssfE+Iwn0L64IfXX0qlEttHj5VNfV7kfiPjzrZ09fPqkbQztyQr0+K9ZNIcuMGytf
olj6t84/jxDtLRfHzTxBH2OrD/ryCj01j6sjQ0XpQ0mXzTu5P+a9fIaV1q7ZhzfRhe+kZ5ufbWsh
rs6K2JIUHdGt5YRCx+AWfwLP3ON95n6OvMj7HYq5g4yQ8/tm4GUcp8a5OjOGIENDvyKw+km5bL4U
N9Wl+sO/oxxWT075ND3kl9Gteqc/nN5468LYm+29OkUSDb4pVMy/DThzuawdtFFdZOy2VudyWZ4Y
4bpHT6ky1eolknSuuYML98f5aV6bl1tvja2tt0ZTBO0YGcUSSOUrIp3AiunPsf9yfcd0yx2+3p7l
Wu4WAntrqRrK4bEP+yCdxLJUqx3weBe9FOcLgsC32E5/RmP44vSXe0k+Ts3n6oQZjSaEGU845QxY
HJeptBM3iKN5OIW5+g7IivOhdi4xmnGmr6djH717aDGCy1s4d4C8DoeKRsyU6gOxW2/YGV/Sfbgf
9pOX7JsL5XyrtHc0bXgVbb1ymsTKcnk5tnFK3gk2purZ3BOaa3/IXEwH75s7NLjP6jPtyt6Y5WOH
Hb0DlXcraDkqqocDjRG7jqe6bJwaBXlZwJVF7kqbnru89uJ54/Wxvp5IxiksAjMC70E3Ul6ddUYb
KX6YarMrqa26R28JZWZRR/i0TfPGblx+79eLh1AgN4EOAL22KHevFk9qKcao9Lhv+fDbPxR2ngO7
VdN3XhVLFA3UFK8BKtF05g5nT8PcGk9J5JNauL23CFeal3WfNq48KdltXGbZZ9iW4u704jwyi4CF
F8g2KTu18OXnr7KvAomFuinxe8S0styh7cpNr7XZPZL36cbqeGncr6aRN5ygH0gwwRPrMBaOPvVs
m9Lkmnmf2y6qGc1nxOTQZKr1Qk0eUtG3iMZmJtq3lI4byUFrMbtL48n/ord5WyA90Pf9RZUZyj34
lAqfojoqLaeU8V46PS/rrJT2KmsYkqANIR6CyGp1SQgsRbIoRxdLhARhYFVxMI/IHqliIx8wlL11
OZUKh3/Uj7vTod9+EpUJAlxms7bBgq4uN5RXpWGCX+HWrfW9AnrxuUU46Ba1zC2M55FICh1FwwAw
wKt3XXkJmsWizlZmpPAWJZAQfpJXTDFKn/R/nk+P6u0eoj6o2IDbKBGyAlaHYGDKY1YgQ+WaCNbs
2nrEkKkKNt6Dby5oPtvL211Y1gJ1fHOb0StR47nrXV8KfWfEAdSJs0B10mDKLqNuLnZm6qc7RY61
a2on6bOeTWLjtFgnJy+/A6gZg0ODWpq2WjrT3A9BUbGSLbSXjV1Q+NInLZFB9NktijUXyA0juPLu
2V14+iCo6OwsKOnDrTVOdmjECebwMsqfbiU10bndyMrGyI58Qxto8lKJB/UGUvEwSjD0NFqmuEeM
Bf9N9IpQBcb8eiPK2/mjQMZABPUrygjrbkMyqYnZAutwo6HMr1OtEV4koREzoPzpZd3o70/P3ZtH
G1PGgKylPwzyEh7C4bA0PHfy1jTxvBV9j0WRxGohiUTiOvTGBltoVOP1foz3GCL3TzWihj+Dxg4s
TwAtmPdxqRpbkhhvZ3rBZwCZWJjYpA3Lz18dy8okNyl+tmjMz1FwGRfSfOHj6+KeHvnbQ44xozbC
RAP6w0bmMArcYXpmk9W4eMzmniyjnJMiDHQuW7oEOkMfUJodm/7Cl5q/g7z+6+f438Fzcfe3Y7/5
6//wzz8LZKIWINrqH/96Wz7nn9r6+bm9fir/Z/mj//uvHv7Bv15HP+uiKX5v1//WwR/i7/97fO+p
fTr4h13eRu103z3X08fnpkvblwD8psu/+f/6wz89v/wtD1P5/Jffnn5lzEnUtHX0s/3t7z+6+PWX
36B4cLH91+sAf//pzVPGH3SewogH/9/+rn/8geenpv3Lb3RL/kx/nw4DTFXSALj/v/1peH75kWb8
GVkMDWDc0m7hdiBlzou6Dflj1p8hPlFBpGWwMPdfCFBN0b38TFh/JiWjWsW2RfFf5kL5v7/cwXf6
x3f7E13ouyLC7+wvv73JZlet7LW0w//vVvZqDf9BrWym/vV+/INa2aub4w9qZa/G8oe2slcj+uNb
2W8yBJ5gB73s1Xo53stGp7VrdlaM9CXU6VVHuw46qdjlPRj3d2Z6y+/yuq+9Soj//R1nToC/t9BX
F8o/2UJf/pbXGf7fBvSPvvZqcv+YvraySiX/oL72aun+B/raqyQu/8/1tddj/WP62stz5FVS82/p
ay9r4XBFHva1VyP7R1/bxnYcmX/Rtc11bAgfYYY/sMe9OnP/8B736g35H+lxv1SmXn/ff6HHvRwk
q8960ONeL6X/7XHnKTxv3OXGMlh8B2JaB3aUZ3sRz8I4H7FyeKfaBooHh13v1Yr6J7ve6wGum6mr
N8m/o5n6NxTx61ldglIIWrje4LxgfhxuUNFP2aSpKapIg4jTS9ruNapTNbpr4jnrlGK4aUmzMehV
rBKSf4V3q38BJT61H2J/yrLrJm5i8RE6SiJ7gdXbxXlsDWH7Cb9wPAPGCUcUbwqgPD62SoZ3mpOE
neojtGxWw4dCGX3EKtLOHL7n2HspWKF0WjLfTSai061b1NFcPUuNPTUYlytNaV/T600gjUJ1EJdJ
0Ko4LBg9BLHbNB3t3wVW6pnq+GNcKR96zc6ra8XsBuMaXH9W7rpMY+no6Ak3Liq4SXludpUYz5JK
T6rLVrS6vYtbRVJcI6iYlByqP/LAtTK0d0EsVdNjGdozge1Ia3dIw/nTlZbXXfBJxUIggtA+oWOi
dJWEbrkVRtNOD3AQc7GlGp5025cGl672jIsCPuWPWTTiFJoPoTbtLH4RvGPTeZR3iE6YhpdZgZ/X
UMfL+UungNVxzK4PE8eOTGnxhkbQ+nxOMPjWa3wLzpShwYen0+zoh43/YIAk9lTdFrCEkVEcKvMK
41q0fmu4GnjPNEptfUg7SfkuMBdAiVTWkeOZyjn0PyKwmLQ/SIGaUPbibgyHj6JIErvaVVPa4a6X
V9o0PeZaZoThHqyuX/5eyV14QWN+7G6GodcRU8ZD/rGvS1xsisLKvg/Y+P5KQrvAYhGdUsySWCV4
H9VD93OYse5Ap3vOEydA8Fn7gF97iFN8quk3o241WCOooXUvwZ3FszsotfI69P2M+bYnaZ/HamCB
4BvwsS3hJqWI9sJUcrNcwhulydGvCUEyVW6bSd0TzpL2JwqvIsUJVfMpHuuZHrrNgIsfMp8pDlHF
kM73IGmz+AyvLogEth/7P1E11+CGVL7ZefiL+t/jqlXny7Tx28/zHKqD19VRIjy/L6UvA8XMT2mr
RXyvTFO/lqzCxT89EgFGgyZq+L7fFos8cfIFydEu3M/4SukuiO9ouEqmabiRM9BJmC305pk+tbg5
oE2cfgaa0qdua0rhja/XNqYzPPeRpotNU941uVEDysO0rthh7zSnZ+oQTJ9QjxWBq5RB+4CSHCgh
7LBHH4+hev6Ky0zxXPQNDhPgxYxiN2pwUCFQ6OoXjIFaGfFyObtAv1jHLQAJg8qN7dm+LqtazVyj
ZFEjcj7mQEBQzL+c+3JCm15GctihkJ10nrBMG3skXQ5qjL5GVuM8dk19XmCTizJ/Wei5q2qRmBwU
tuxfFnafodeFqqARpUE1c8QidIEJ1aTh5ZyU9k6K1CRCgb0qEALL9K73KDBXj6pU2RiW12m9k7Ia
Q4ChUUWNh0aJhxUaj4bvAK3OPjfRjF4yhVCZtiUHRO3xyp5CzzaCoGEDIZ4PKDsaNHxhrGHAoHyA
6iGHgw4cQ8Ji2dUaNSuuhdSNXzAFzG851nCzBNGNNG9pvtgTz1mrInjvo9hZWrlduxMM1V8BNq5u
p/uImQ/8WuFlGZfNl4zFI86kZmKdR6Kfh12nxNn5VAwdektpglsj/jPotFoWniugECkKZZipLJrm
al55QVSyxI188oUrJgj7LmdUmN1PCLK1jmhEH3sDpvDjWWWGRuCEudHjzzx0aGKEJs5yjqHWg9iN
aqc/FfoYhRcyFC98JWkSfKl63CyBJfZK64UUy65Te5D8fRAXgItKc86+tEkmfVXaPBkcf/LTwBvR
iKZgKNs4UGMjjLtz04ez4SDrXt6hfqMFnt7JyS+clNPvEtpuV5OP+SE1zD6QHQ6VwnILvRgfBoTo
n4e+sa6HBttsb2JOvIwiFYK86DQ8yk2EHXIPCHTc5Vlu3Fgdst8uFvCYxQAvwGSm6dv6G7OBjq4Z
4QjipoNslV4Rl1g1Lepc1WLz1+mseF+23VzjsnDCOUOR2ZqmvnVzBegPrqUxrkKS5OvBue1bHX87
dpBnud4EwY0dt9mNVhlx50I3KFRoY7X+MTQwckWOOYfWiOttWZ9hJjyF57Ivt+VVpcz1N0Ov1HTf
ZdFEET7N0Ixqxir41dmjQi8vyDFgtJoYe5wGQ/noTJi1EFjAjDoOFEL2ey/gFH1AfT4a9jqUq9CJ
0r79tQg0I3I99vot9pAhPqUcEqnXyakUedANmKJm6PlrC7kNvw6i6GxXCTq4zVTYy84xBpojbtKq
8SehxMmzGGNLcYuOj+107QDsChoy5qZRmdGoVs1J87SJo/Mc74H8Lipa/TNLvtBcjRpu4lRl1vo7
tl39VaHF0nqQ+HFSm4RV0lYxLH4YyEP4PYwn/Xk0hfR/qDuTJLmRLNtupTaAEPTN1ACYmfct6aRP
IO5OUqHoewV0O7WUv7F/wGwkglkVITH7f5AxSZJuDlOoPr3vvns6xtKnQvMuDrmV1MDft6sFlLSX
Tt1gi8OU2W51CXaNcFpOyeaLPfhkRBSVsMOzjoAsxW0zTvp5G+HhsBfVpDH6EgpQZujoG8myzgcD
bAYODaynJcH5oblPgUbOLQwECbLMHs33FcrFA8s+8NLMU2N/9lfFLgxVbGvPgwmJHbIALIKDXc/5
46DrjbAcryfCzMYb/zwQ1/WdCRD9A0QGb5AWY26dBntjeDcnnFuAZZ/HB5ejz4jJLbO3WLS+b58B
pNrfu2yL3KMNdMCKM1iz1QFMrPiGo3DnM1UzbLG5zqrj4jRBEY8kWJMfb63+pwmWKxxDhmdoxfKJ
S8LVR9gDRGuTn25P5nmhbm4Tjr7wVgEzti4E30lx9EbbPPkArU9uDlfySJzs+uHI3ndACgOMYFgx
dI0EgxDDR0xgsZ0DOBlACtqOD8rSDVbOgyxfOYwqI7wd3SAj7sbb8GU0yOucnEoNcTi7or+Ubg2y
fTaHBtxO1RBb48uIb9NsMnqspSZ0Jh6jhTXvLUsHNR7rHUEJSyNF2pumkbEL9FA98jKru7uasQzS
9YkqV4ljjmX/5nM4rbCqXV8mnrku9MJNYdXHYbAiYlSaqnlfDbtEBR8dz7g0SR+1eD+IVwkPNbEf
04seNp5MRuL0Sfn5/NarYHvGVQkMeFCEkkEpmiNx0+u8USeG/wJx1Xtr5qab1wj/0mQu4tvU2W4O
ZU+bpL4HTN448AbjxchcMy48a7RJ/vZr78AwlEpHOG0hhKugu5ph4P2IWmzDZ2tUjUz8uqgbisgR
y3LtlfpL2znO9UpS9T3smx7JvluH8mwWXuUlQCijNlGq7FKo5tmWNE79E2KrXLhDY2RfTfkkr8Aq
Dldyrdm1gyoMuhNHsUWpmE3hHVZ0FdvRaJ9VAy8hWZ3G/iQHwI6HgtjrL4XbqYfWZ986bOZifuhx
ZAYe+Hj4pq0tp5QYS+dzuCFlJ+O0LipBn+s4i2C3PjgztNXDGKjgCths/jw2FMrA2vVwxQhiXhwM
4ndSOmolAHaGmdeD2xiDHWccXhcLPNgnufjB92wypsd8qYIHrTPraWAwLp6UghLgw8zg+6G/8wUY
kHPZLNb0HdsXDDQgjLDYKlo4twaTy+7BHjwSi1u3yZ/7PFo+51nRQP3R1nTco7/gM4ol89k9hH/D
7yBf5211X4LVAHrTm0rbJ98eje20RWH7tPVKhknRdT2xZ8BcDj4rkiVfApIbdRcaKUf1fEXavPcK
cib6zghF+2b7fejdWXx+NknoLFUy5P54IfuuVJdrvU4PC/tbE2d5l7962Tp2YCZt+QinFsaNWUtO
es/Ynt3QFPxfxQaCSHYtUBy4DPR1JZWGuFW2ueAsKujlEQlnejqeYOhi8LSssjqYirtIYtSGeo7c
Yb2lGU0gBOBMbjBuE3ENoQgLHka5Mb7J5JHZQRiZF8i6meWEh8IPpi0F+AsfLssWQJct0Ar2uajP
bP680b/LStHcn/iTbzts9GoE7vu9WJaNGH5aizswUEdm4jV5GMSgosriAMlteGo5+Sr2G2f8Vrdb
9TIbI1cKn0Yl/8TUuyduPcYcg02wHyePULG4nhWs16bEEh8bRURO1cxs8KOUC8YRJyi6OzEupgsk
p83h40xL0aYCA0IXh1lLwSRBaY5n2AfrEwnv5SOEivV7P9rhjVODakiDqV8+152cs9jMm/pxJrWZ
nwHLnftqaQdwSo0wvAyQmpqDaTDWANKr20eTGzZXY3a3Op4XSY1jUWB+GAZ44WtGwKuXqa8DmwN1
rN+tShPrWw9D8ObgFwck5Qi+UbBszldtWmNxKpdhCJNKOxFTFLPHHc4wvR6sU7d6YzJ1vcOwild8
HoXDJiizrQvORi7VdGR1N7eLp+b+goC9wE1qGW2nNYRmdAAQNjxVvM2XFGiRkxq2z8cdOPpForyt
etr8iufajfPyKMJwkscVdroXd1L6N1xX84/BH8aXZdyzZnaOoZnUbt/BxcjshdPVqFjkllyGJBJG
9bpFpaZokUERwgqvi2/V0vhWLLygKijRh6CAsF1FMq3dSqyXQ0EEWCpF2370g+cCD8QOLs617/Dr
9yJbHsp+gzNcWnsBajJ++VryOsqUKMntnX9ZvzlFNYDizTUdXgWGR8VFZ4zVKWiLsiX8GtjnnTQs
bqIclv10WOoZWGNe+/K5C7l6JiBihg9o46BDjWmjZCs87r2UCLV0jh7uA5xepViCWJtTcImzXy3X
/tojPub10FCQ4ii0zoUR7BQQNyrejGkNvhllTR7AUpnlg9+bPpe9tXG+hqNthOce8N8SjzpfSjJa
/OySwVU/gq9dA59pwpb/GpWqy0uRw+5Num4O/XQ1VvFJjN16tZGkxdrOIUgMx9ApXJDZnpj5NNCQ
Nl77qRiXFZ2h6MR5HYvwayCz8KWMwuGLM7TVozX3uoyXuuN6VM5yAjBd17mKcxn135StKALlUE1V
DFDPD+Nmo+I/OCbsOigCjYOjKVwRXdaBO15LYi/V9zpsVwgWakxLHS2PoLaMR5wS7noYxpHbVj5G
3Rd/w5HiGdSe3K2U/eLkBMvEKxD7e5Cz3pCKZhvRMkKxeGnlWu33Rkv3B2AJBKJp0RF0F39b7krL
UliMuYzpxNPauJ0ApoIBc9z5ZHO1AkNq9xBeBUpOc+T1KTi1+tFoQBfDJYzb1XDFyY+0yczGmElQ
IsrOyRI2bPGCzUqYiWaE1I9B4E3bEdQx2WbLZkX66M95D4ZP2NKLCbcQLV+ADS6rHENX3Ui55t/V
FNhft2G0i7STS/HudV5ecA9x8jZp3FyOh9zP3gynLD+pjG9jWLkLHTarFVa8LCp2PX0U/aIqaGRK
odGYIhoufDH0mkvnms/nds6XK6tpSTrh5jR8BK2RvTke7jxeZRsyozP4r9oIB7JeliH66rQUP4hN
EDcPIF6zHyZzpy/gdiltJ+lktzBuiOKqiGnj3K5DK4nQsaj24XS8wiKXVsLE2XCzDbxgu6DDPT/0
zOZzHVXq62q00ETccQIRmKlmIUK7mfRFl7f1G4z66b50V2SNHMESbllmO7dhJssewtPqZMela6aO
SXSooWy2haiSjVP42p2WWTQAlBkXLo6qhnz+s1//t7wL/6sj4Q8uhj91OPy/6F3YYzj/zLzw9H/+
u/2v+7e5av/gYPjHX/unhcF1f/tJJ0FfdnDR8fX+28LgOb9ZpI6AEyG4iPHNHfDxLwuDFf1GKAmh
MCQl70ndDurzvywMtvcbrksSV7HjefgjUKb/hoUBm+gf2wcu87DEJeGEgBfBPPGvAQeL65T+LKM8
aXAYUmj7kK5SBWr+e7nN4adJOeUrUJpRxV7REtY5auoi4VjjGgdhoT4QRGb3KloEt4YMyeCmCcb8
tewKlOnFjrKbUCAZcsHrxhbWpLv0T6RfzSGQj019kfBFHmStI9CscqrVMexr8uUhHQfCuC/rkrOX
1C3n1fO98o4ZYrc7AgM01ZeBbALLjgGrWfO7qirzylTTfGXUc1ccNHeNlyKa19ul9pwjFyNrS/g1
M4RKY5uIVZyRvA7h2s6vcrBzE4ExWr6ahSlRQqA1hgeh+vXex2IFxlXtFPtGFkieqgm2Uz9M85do
mKLuVqEmA9Y2LfVaND1hvuUmBve6jnoKLC3WZTrMYbB98ZdVTVTYeRYc2gkt9GCSxE4JBFGwiUXO
aAQ44Nr5jiCyXYdtQciDFRSZd6A1Ds1vwVw2pY1ud6zzWABGttcc3ZqonLKLieMZ0QWY2r6WpSAq
E7gC4Mp+tYxD5tsRodvmDq0zATZ+NGU0P01jIX9M86wuJ+kXLyUj0yq2On8yqGBN95asxOGGgdzx
YfQEJ8/s2VyQ5l6Oic5QCg9ZOJUR2Pelvc525yrwncK/FY0zVNy47eg79p0JPY8CKDyEAVlSydYR
GByvUR09K2cT0Ylwyeh+G6u9YTVWIRWPHQFzlbXZ7OwGbXRHHW7Wh9kVwSPLpZ2h3VG0D2PDY+zK
TXNyD5BiD1DgrIqbyO6VqykBcyTwEPyacEiBTUMUmdcSNlJ2mMBgHQcapT0876j5sOahzU5Rmbcf
vGv1+xJNgFI7w56WA3J+9Vn2WWseotYGH2pZkE6XCSpWOenqpsMvhuToy+wz1+0CnmmzsnZXY6jv
NZwCP4Gkg5ei7vPquIYKWjmav4QrJgt+QbNeXY68UK/PgSV8eZAEkO53EdP8Mmi5HCr6GvRj3InI
mQJ6zGF2er5+GMc6xIJrdfXZM3S47iOF+G9FX1KmFxmgnNgV5vA82jN8uZ5qMxaBbJhbC1aTU3ry
HNyRxX7PgxmPsC+0yxxk63PSx6Gxhg8bBEO0YCMzrpW/K2VgT8pnORvFTK1tGHUqhDfC0cZiaial
0OsjyMDw2QBZ8oMQyg7D6Vx616XtKJk0g1ypGycV0J/pW/+DM6vMEfJU8BoODYIR5dA6QMaNuidB
xfnZMpqS/tJqThZRNabM6Lfo5gXi95gfkfunIjFZuzlgqSJAkI5ohaXZum3XYoq4RcNHU58Wwy3o
zOmB6nS0tDudJLc1fdBMh7JcubMIIiWLiVckdDXXPNusorgDC3fJozWT1lXixgRcfTczavuYWafQ
u3Xb2VuTdsycx8kP8irR5JYH3OC9rqXXwinbKNIWFwpCCKjc4DQ7Tua66WR542sAIDa4DIDNPQje
pW++qmCp5oXcTJJP4TgeGyEg4tmNsH50QBqmhHwvA8WfuGLwznvno+6n/n6RvoccT9hIfsA+2V0Y
Q6tQTMq1HI9iqdbnUYmijsMwC76YUplcC7sIEOPgiOhro+EiQ/cEcZiOpqKKKBE+nwWbIiDXCJjw
QSBZU47koXYOZgHh9SDKvnpU5UgcEivZW45G6OQPfehsl4pUDEJ6ie5s0s7VEO+r2q+vsxa880VW
MQp4UMVEQclMbHTLNtojgNeW9ZwD3IMchNKVp601OU+gz7msR8MWgKGOquJgt8X2KCK//r76HfuY
lQ/GaZoynYYEPl2WaidstzlsT+KAwipKV68GmMlFfz00Atr5QRnLrNKt8d13hQYUxLVtlANUmLUt
9xPKCw5iNuGpueXYXDpGIIFWyop1DV9LDlfAf8mZcoahRWFcahEkwapRLsgi5PNhSnXb2NKTuPDb
3YCvmM3+7tDV8q/EWKBaZFwbQUKOIrcxQNfZdI2sCkINZRAoH6rVmi7rFnRxjojrQDkWgFxa6G+v
epUmJ44ZKc0otAdnWPSbepK1v+SnRjXmc08WekgqkblF5wroZBurBbxCGsgO4rCy8qoir3kuCNsp
8gYouufKq5ESF43biBAKBa2oKHadzP5qhugRZw9t2QeT3bviwgzqzYm5Waln1GQWj8vVc49kXn33
sDgLknMZLjz/QLo0FsRcr++61GAWRDizTMx6dj9BsJvrk2jn9V3Qh6vPo/RWfTbnic3KDQtWWYuW
1D272UZIrsPWCHl94RYYOmL2E+6I0asKyrU90sQtFUJ9kJknOMBTdiAFIrp2yContZzTsEwbM+vG
Iy2WcI11pguTRgOKUczBsMkz2hOt29Lcb3eUMLu0MfIRQ6TJb2KOVHtU7sZ6aI2Njx/qcpOn0t44
tMZ53PaO7cDrUKqBj97SL6ChHkY0cFb6A6ROkhMhYqvy1u26DEpYxwuqzBM5I4wNA3ihQ4jdfTu2
tlMK7ru7jOsanfpeekFzG8m616kzNuujzU7pxv1UZPYpyp1wPOuicXt08Mbpz6pXRXgndLP4qdrC
/Z+aOqi55Zbz5PO+Co0z3fmBWTwLb/alLChwLizF5eQiU5npJ30fcoCQPwQ8q1eD6XGJJX7vYh4M
HiRokzb2lVB1ms2W9SPr1NrHft2RzFLopRHnQkrLS+jgb0s6bsJs077x25cxXy0yso3GuDZHxzSQ
3zUVQECrtWWsQpZzXFp6eWmHIcsuxFSyljYGjcCVLo4TEvU3Bc7ZhUD9HoIM7U+iIG36QsFgFVQ0
XPpuTQeW9ZUAautemsbPDpDOQv0wRqOsLlos5MMXr/VRDJTRP6vc38X9Uc3ZqcSmf0F/dP8QLa/S
RVuZkhclosBmdcgOwPC4Bk6y6VZH5643bffKQfGgZbPa5SUr0CeZZp43LCFdFtopbCn/lXiE4ls5
T02NslyX/amYd6xEA4raOaLkoFWsqK6JA1n91kAv3k8vsz41k8Gv0BhN9ciUEA0B9GVeShzONO6y
eepeslAiWGoupYSfwCA10pafwG0StdVPRvCLTwaGjK9Cq/W9IG2XJY39ACYp8ysi0XiXfbwDLot0
aHreuCIHV8nip8V/aFaTBS5WzZ83Vo+VFLTkBCZ6Vv1TqcManbjwDcrTxnI/8VxpN5aVo1PQ4s1l
q+pgOvi0v75Uo6Z+kB4+hxijzDyBYwydl0KaBVqDX7GVZaMMAe7KllYjlBf3ImTsBS2r1hrh2bOj
Is6WgIpyIQDykeQlhFO+sYgS1Wm/RX0ottSYJvcxNIceh0gzUyLaYlt/tEG5BUkGjaGPs4hJj3hD
Pfru2AZdL24hg3ksepV/dMMy1ZAyp16mFbyohBgQJRHGQKnS0xzHH0SW0jamHVO9RP5akP+MynPT
u2vhQT32NSYX5X/WGsTw3rarRzIplfWpz027P/ONuzbGDnc6bopMnNQwhlkmQ+l4XzNa01kc9FYd
mxPN4oPPs51TaU27YwPDyhW7fVcjYo/i2ZCBPz2sPeMGqbPNDfg+Mh+c4zQNnn9YlqJ5d0Kjug7E
MtIVnPKvelwMLy6MyBSxiJQkzxzUx8yjNFywJo3MkbHgREIVVnNIjrzV8Um0RWXQZzt61/a8id45
oztvAI6JBebVzL5B5Y7KWAVt87CFrXMtei/XsV2F1YJXoewdaihRFscpb033rAyhb4Yln5vjUprT
t8Cp2ijFLINQ4dA9MyggmNaLl0JZHruymF8NabvwrdRmJzgndE6t1ZbhqWz3NQEgxWtSLDOGRxXp
rGDHB7KR07lwi6ugD8fs4PqL+ihWy7oZKyM3jlOgHa4kgxqg23ecl4fBVIOflqE5vg71vhm6yp0f
B0UP/fS7W/8/pwL+MAXwi9N3v0Ez4cSICsn12L+cX/zEGw0riaqYJ1bU8haqJSxvnKosXvNZ9y85
mUHfHLwNDr1Fy+Xpu3vJrhyzUvE0oWzzzNkdEjkM7juDCHQJ/vwD/g+fD9oNaTF7wCS2tl+8tM7m
Igq39PdUloubCT9G0kTu9hcDNL9OMe+PgULDZCzDIV/lP4ZQ17LJVsN0cvbRKvDecZzgpnC8hRlY
sy9LM8bTj1TPzXt519PqfWrXXS1kkql5pr+g3nJnmb6ssvaGv/iGdq/e77x8//hkCIg2U2Hwun5N
ATJ21CDoZpkE4XuHv0EnHXGyZ1xIMCR1/f43H/fPGBYiFBl32+eofvFj8lsHrgHANPb6SZxNYJGc
pn8ZW/gfvxOlPQ7FPXXdRyiyf3G1zpX0l7rlrRL0qpkU5Z27K/oVBt+WqxMuOvH3pmN3GATR18xi
ohYBpXV++bVIbarszOjsGHwKV1OlwyQfiwKRQqnkz5/g/k/94ftiiJlYKgfRbIe3/DpW01VmPpQg
VtgVlzzN+kbTaYXtjtVu+ItV+3Px//qzmPZFpeMF5uX9Ze4gKlooXQVGCLmtzZe6zxzNpkWznn1m
IKBCyNI+OGgUYQwtfdnirhONlarRN/Kk87yc61GtaYXKWgnjrlPauu69TX+wzvxvhoPqHrsIJANY
eZ29jP5c/NUo4i++7v2bIRYKmZD/QSHzdv/s77zGRelj1aS5F2+j2V7lWdOdjEzXsU0v5REXY4ee
PBdxUa/ONQhD9RcL439YiYhvDCkCSLIZqvjFnksYbzRNTW5TsIrwZGhCsFx/4FA3MXv2eDwe/nx1
/OfPY8qdMT1G3YkBRkX6469L9y0y+tLJ4s4wA24afhtXe+Fp5dHDsjje3909WRO//3H7x/nd0+3E
CmwnczOOv9I9l1WzpL3Mp79ah7vr/Y/rkNCmfZjUZxnCQdm/5N/9GCRNWqch7pdpc+StV63eQ7e1
lLxBQ68xPJSdZa/vlp+V2Tmnc3Oaizqqk7JHNES01eMLByY3BW4lFcnZayOrJJg7z0oIqaGX6GPc
+xRFArMPr57H+h4m67mj+0QRFmx0av/8W/qPQ4fH9nN6j/Fjm6nqXxalWoIJpQfM34aV+SkkEBr7
r+3+xZDzf/4UDhsONc4dk1HfX+MkKjrfNL+A+22VU32NzBYRdW26fwQC/q0mx/9v7QtGICPW2P8+
e3kjm7fxv07fhzc5/r6B8c+/+K8ZzOg3XuyAtNMI+gtBk79rYFi/7SXPzlcz9+S7/Vj9dwPD/Y28
cc4nYtxCUj72PenfDQz7N+Y1mTxjspO/u+c3/40GBsrxvpT++OpYO4eOOAVS3YIo/OUoXFZMdVTf
7H8M8N+HHhnXBCksB2/c2lu7sl/JHb3bIpmn1sTFqA7N2BknO7Zx5jXBbL31WkUXRSjFsQto0Sqx
5AfHkKi1Nb6JEK9e6qgiA4zgPpMPQ5u4bptbNkN5LQpId85UleehL/oY82mRmiLYYne1q8SCMVbM
4r4fsw3CWXG3FHN3xD7ziI5zGkOBAJWHBjTF4aUcjDXdFsFp0+Dq6Yelj2XvjZ+6LRquJ7/JUrQC
eeEWdGmadfjUh/l4ZZiD++F52XikiR7EIT/2VBrcADajyd/moHGfsNnotOAGcZSd9w1bz20X0rc1
vcknqdBfZx4L9HqL0eUzL1OJy0R9JcO6u1jpfd4XUgQxPC5iS3D+ndpt226Bht4JI6hTfzWsU2Vx
BXRJR39dyJVJrJJblbNEhuAhdp/7Tj2NVObHaYuKOywkNkLRDhNo2Rxwi860umV78Gf3YTUaL+H4
Wg/9Ljd73Jcfi7G10tFvjhvet4NjjypFIaYBOzROgpCYFm4dXObhcLuEusDdHW54ivQnMF4GeFZu
dfM6DOThjc2F9Em0NYcOd0BReI+tmqrj1of4FSP0TYK361SX6lFPFgZqWuFIjFVz6WXtxeKuLtnN
neZeAwCLcJL+xdIkrBg9XiHfsvpdl6WPbvWGezEbw5jYc/Y+FDNTC3RNHkPD+Ex5nirfX49k0jzW
3XaPSkaekMQq6dLLpRNvYxeeSVCqaOmE24x20LwYlX9CHX9xM8xAmt7DIRL0q/QyXKLLkADiFRm+
AG84r1GVXfQ+Fo0NWfSiLDJgQzhDh2cRuPoYzgjY0fTi8DOec8Mdznjsxjc9DvezsUY4DDz1HCBC
Xltqeq3L7VOxep+7aPxRas0YwrCcuja6ZYRiLR+81Zh/WEu95Jf6ZxuDi+WEFa/1uvUCFvVap7Ns
m+CqqLf1dXOHEFE1ytpbF8YB7u2CkYC7RWf13RxWRYVA55bh58nofKuI/Q0Rnp7Y4GIrwZR213lE
ABzgaUEHhboZaayebhAycIF9J80zB4HBzZFcPzWlg00dxasP+C6snJy+jf3rqD18f8mCb2k9MHVj
uzdlFtV3TduJ7tYZULS81OztLrQTj3egPzpS5nVaq6ZlefDvy28Yd+kFou5MIi2buvuM19N/WGfs
cEmuoR/FZmAAiseUuBvofKG+1ipYxCU7lrwVkxsEp3ES+jKDwWAktRPsgjjunhlOeNvzuvVDzetO
y7O/mBc1AQRwNju8KJXrzUnJOfps4dPNEn/ryz51o8p89FFOinhyukbEQdejYuWWapxjiZoanald
A492k7K7ioJ21bt6O0pmGlQ/mxGYgWz2D5j8kWlCe46ms9G4q5cExKUOR5uYqP6oM3rX5N6505wy
DRQR/YD8nB9D9Dcgh0hsEWMXUxgcvGnNXswFc3GyZl2rY61D3qQwqsfLsdjaIgbMsm07Hbfvuchn
yChWoFfUsW7IL9o8R5DdfDm+kGlG/6OwMJEe5iHMHxZSwu1DZNV0icTMEMFFFZQRDWcoQ9NtPQYE
9oxi0tPNhi/UuB2iRgJSMmax3UfmGE7Pxpo1I04+zz7DAOYLbm1vKS/KrIkMWEjSjE7VYAzrwXZX
9WaPmf7ejm72SDeEB9JGcotSiPLkKfnbsC3klwyO94HO6t7T0yV12TW2N1cpL0t96SxOUlZ0nI4N
Z2sUt1Dh7ZP2YL5eEUjb20cZuZ13FiGHxkNmz0GZdirCu+GsHqNgoTPLFXuMtz7N/jrdYcG2j4tt
LOfK01emkRdX5TR0KUFAzYMn+ltZmEwxlKFKchWsx3kU7Z3waR50kanugi7IDoh6RHNsHc94ydWb
JQp9yn15uw6+gU0zx2MvR/MaIicDJvV6Yfq8bE1WTcjLU39YV5GYvdck/diNN1wTt4O2GA/wg1ke
o9li9AyPXtRF2akbSEp2Skum5ToTpNTWT5VYHoRDEY3/ssW1LOl2ersXpthKUX4azKo0rrPRPdeM
QaDgTKQD49v0X2mXVesJIfu+af3ukqYFsyCR9i5aYdx6va+vSqM6DeOKsSlP8SXf0AYwb+YKWW7B
zbMPvU1V+2PoIDTn89occ8O6lxGtWLMIusM4hvRzKt9J5iljT2jvs32F1owOaYR3vEyrgVsLh89S
tvZt27cq3vLsiGscP3bnfOuU94VGpnmJzJxzOu5uv2A9t03n35DAsyREpuB0au2zvbWpYdVnX1vO
eVDT+N3XXmx7sky6slLnnAGBlhaB0eJU4GguuuCFrsHzYJnTxcaCSFwDxxDuo+gwOcP7SO9mSrx1
eVQErmGGJoNnSyeufjYnVUMTuGMaK3GXmR0jiJyrQm3NaZ4N+TQJW4cXbkiC9UXuRetH4RlzcWlt
QSBjKxrs6iX3V+Z6cqyu+gRmd/NvF2FNV7ZhOeYx+On58jK1iHSoS9tDxdnN85opv+yBYT8fOks2
jNj1vEZxZC7mSUatTtvcD5YrjN9deQgmXTwUZjs9FUEGVHCRDFvhrcWvpijBuiOEa8+7n3JIUcks
tzJKgL91zVW9qe3crtqHMlcGYeOcZa4t6xLaN80kVdoVxrvdg1f/tOOFIb2As5rMiQe72N50MY99
vp26mX8IQ9hPx19t22r52hh57dFy+WkJLIoBX39tY0i5yH86CLXM3OJyw7RKVwAtdLhkCEZKWhZ7
UzTcvWlXEARLgfGXyTLqECgYLzqweLkc4Qo5Mk4y+uNNZYy4DHtHNtW9j1FrvjfHebXcw2gYOkuZ
rpof57AvjQPX/eYhMgetU8UsQ/+wUfh8nRhFcO9aP9h0TPz6Uh1wdbckGdM3Dp4Mgah70rYlQyQh
Ws7xkM9dlGT+2lIiUlZ1Zz7FSOMtV2F+4ZvSKw+K+gCWSaCkMNNyd7oWtLAoHSYsB4aIpvxTXW+7
dkbTqUKR9xrjkWGdr15dBufQDM+SSCRklKg/4tI9aWsbzsa8F7YjJ1EQlZKft+IUkvOzdFHMMdV8
0Gt+L+U0E1jnSPqJjkHLHl1OfAhmESmRwywtwvaTmvxLOhQpxVsSGRNcKMfNE2Xq7lSP3Zkpxo7z
JxKfilrG4IBuLJ9EprbG9OCNNRF/ZCwefFA0Pi/L0Tfc6MLdu/1wJi/nvn0mE5GBKcX6aej+zJmR
MP1zNw6eeuABv+RFkR9Wp7ozw/Jy6mkwBXTCOff6S2Sj4pzN3gV10d3eVPzKXrbeehM59TJ/mo3m
ODtu6lUVBNCx+WIVFrDesc2OrR/Faz99rvrufozmc24371XY1pi95ZOdOw85o4qIR/36KkXzNRwg
r2LavcQI1J/pm196ZZ44a0fiX9ExfoHn6WCU+t1S2U3Ve0+Tm5EhHyw3xHhg5w2i/lqGoDRaZy+L
/OjF7U0GQNr2h17ERB/F+r/sncdy5EiWrl9lbPYoA+AQjm0AocmgTIrawJhkJrRwaOBt5lnui90P
kdU91WUzbdbbsbbeZRczGQLu5/yShaXjdbrjxeWKGQxvD3x067TaQ16kL4vbXsRc3duJSE5OmH/W
Pf6Yoo20TRKKeC9iGNlRVW/JghsSYYmO7y2Hes7r+vvQN0+97j4axHz7UTTcxpZ3YKHatVF/7ics
foiN4MAb92YpWyZSbKHu3IGEGA9uLfhmjPV96tkPUBU7Yg5fhgohuG62Ho/o0viCYO/NLLs37utV
VZXe9JqBDBNIinn3rYq6nZoVNzkdzf6a/z2P41YM9cksu3GfrlLn1Ku/QhP0ORrlR4PySqAIxhhy
WqL5RbIfbWthYs2M7K/JYzJf+V8Mgr4olu/DVeZOrvLeSvK3lI2IC4ZkvLPVOa/6opYfuqMNN6GV
fKMjqXsCP/QR228gO48cA+yu07SNVHhqivlbVujncllI5S/D+9HB51o6Ny0LHEPmNnX14WXu+5ul
nu4ztquLct0na5XEsAPrnPdIV9NmksekTzHyoD38fcxlMNtp/Wgp1NO2Nb4kpdEG7WBioROY5LoI
545dhPexqmofSa8WeG1mnkN8ONu5Nfh4ZmVku8Qy53vCuO+zUGJ1QDtyRvTwiVAL+27vjDfcOPVm
5fe2yzQtTw35Tkf+DjPyPSjQzUzY37ZI0h+wdRLSZ6io7wwVFeRev1t6u+n2Vi9qcz8OKEM2XLl9
8ZrBK6z68Baa1BqH8M7q5xbdCzryQt2xyiENaE0z6Y8UNPJTVhjrB2b1tA5wnsZqnyVDm27ZfSyL
M89MIZUhaCE90fjlYlfJFiuihlcnW7X1eDUWb4bhF5nN/ysxEUCkrhYQ2adwp6PXaohpBv7UREqS
3kDYEXxYFtH0PEwIKZYZSPxmKOgECECtknOqj/zqCIKSMvOtdHRrCoGb9UXqdTDHeRqxrJULAYe0
6UKjekbNwTCnW5yKC3NtU/HStNEB3NIw3kbtlNBHleD9wGTHMnMb2zFbjzcWzOVaUjDXku5WfYVh
PZx6titMZqWTHeE+oofMQAJ31upW/BSRUM/IPmkO1rgHmWwnUs/amu2znvQPO1/eIkuk963qJG9c
5cWnyhzlsJvwZ6WbQbWnTob3piNeumQ6OwbuNm2ui6DpTP22cCfvXBZwfjsFIVLsTTtqdk5fXhqh
nSfXY/tBO7qJMLvgjmGxJ2FgTTYwfZDWXT70q3arhws2TuW03FtIuYkawKsSOzdmWwUkFFhcG/2e
6ocXwSp4jl38S1XiT81Y+U2uUwCpFR/A0vOhxRft95I+INUWF1xIDJi2GjeTYb50eTtvi8X54h66
TNYE3ymeJunE4XHEKJ74tgi1D90rvadw1s1wu7RJF+3ytn8E3gpvUhQ+nBZaNj5HFe7qLZKj/BGp
T2ZsUmwU5dZgp5sDoGqnu3Ed4e0XC22nX6UW0h5RjU12xix4q8eoQ1LsqiZPMX57hW/mq9W7i7n6
vMwq6LQW42g5VredN+wSvf6emnN7M1aoBkaSE+Ddo32jrWrV0Y05Gc0dl9FnAUbA6OEpNH1Lyokl
zUd2SLZ/aiswqNFIcFuV8xuI0g/IXJS9XqZ/WHZ1SvShepgmik4bDsx9g1G0fEozxcgnRyWc+8pC
QIkFfx29hnbWzuzlXrPJmpr/RK9cnG6ZM6YfrEC8O73OmWklDqNYpKPA3epoUzgpTRnSnJST8gDm
tjqaK62SW5nbPP5W5DLQpYaKH5C+o5qo0oTn0sqS6ZkQVXyqmlYnOcVL4YJ9YWwloo+sGHmCI+QK
zW2j8qJ9bHAixRu30ZKW8MJqaLYewiYEXDgdvU9Veu7bjH6HUH9r0Lar9RDOeC4YVElAXOdKQQA8
Ks6s0bf2kHI1tEIbv9dxhlES7yulLdDEuMCKlB1Vx3xoDHr1hHKwOxujk91brXB/JkpXeOcq91AA
JDKhd4B5da1/VgIUDqIJhr3I+/qbK+Nx68bzfT23xA5Eent0+/5HUUHsjHxjdmE/ucapLk3lm2O9
bbDleKd4ksNycMyoEQ/p7Ez0TBuSWwBIMOt8VlIvPY0eKozAyKc2OreOrOt9x4T6pVa3NK3Ncv6p
nCj1tnCPWb/psmz09giO+/AyOlV5SuFD6mNXWphHy7RwxTGjYwytc48k/EwbGItKpsCNt5rDLYHL
TU9S8JcaiC0phIxOdQ68u4XD4aSN2i68o03Hwbag44wma2F6U1A83+JZ6X4b9oQ6pJh90Z5Ol1zo
0wvVgt+rRTRHPSnAk0B2flihyZdQj+z0Y3SdfE82P+afdnSsb0OWG+am1W1to2yWhGXpvSeRxcuB
r77ngUHxbwfwZ1hG9DJ2p5uu0lazbirCqLglWGEynloCFtodh0qp7rIRzd1BXFVlw8S2cszMsE0/
lgZFDksg6gTWVbXc5ygwp48praKQ3Tia7Wd70BFcNo2OWqu5quDozkDP0ZTUanEFuNY31Fhl+cjU
W5cPQs5J8y2dhR0du5AYXOo1rqI95uMUn6LCU7/tlmooAxPPI+Z3M62K5UY6Ie/BWPYMCCHayvhQ
VhWWzaLRsvSZl2KijvHY2XeGnvFB954VxQ95WzUWt+yUvYdiKvFkNrpm/LQNVXxP+Gx+smQbxRvq
F6TGLSacVuRopIvYQpbSRyl6Lc3p8z7ARo6wcLwKK6FHI/0uzMvuu4WGZ9wy3rtAkG1XnBMUsXKn
FDkSfHTjmi4RVYSpTFmGy5YIx5D66FUTGnLlGPfMdo3w+0E0N5HmDe6Ox0RpQY+CFvkMSmFQRZtg
m61rlYtvTPribMNVocq6g2BqRKuDbKUx+Hpqs2MuSL+IFEDHG2J70wrhnTjJNBpLcSNwQnQhp1iL
w3P9nXOUYpSscXbVodNOF8/K42MPP0npSO6uW3uPYYEgijR1tpIZZwgACGt+AUpZsr3Lk3WZnDyP
7iaDottTikrsjSdTC7SoGJw3s4/ddwwC1iNnBGOfW2sc7spl3u/igGyhlMsdGyWMRvJ9aKIYs2XT
X5ZKLbfRMIvH3E4od4cL3eHxSS5yEEfVdebL7IS06JrtgZCjaRuCdn7z+FUPTBfMRUtSh5dUKKSS
rewBMZGv5osqbytjyA6ybj5io+53uq6ou7Bl6M+hmC9N7kybEKcftvnQ4RSMrEsTJtZJWprh17Y4
anL5UTjjURWzuXFZn3E66RCBHtMOpKNsWjotQGJ7hFjKAu4OkXCr5Gmu81Op5KMFqPc5DMO3qgmP
SBLqTc4AEvS66TyVnbyJvPq2GbTIh//bu146bprE3UbI0HdUqEQvBIJ8DWXoIZofjBMiVk0FaZrO
zEy8DwjeHDvfNLA2QDm286vp8V8iC/9vOqLQtay96v87pbivkv/3X/9AJv7xI39zQ9m/Ee5AyR8t
z2to65qK9kegK24osrAN+tWpIDUlbsc/kYnmbxgYoNN0G6bOpDTsv8lEnFIIbQSyJiroDPSd/1Kg
669utz9ziVCSliEIooSZhL38a4+XgeB9ldQ6fuxWY7LhNOSyG7upPEnXGcPLVPaTt0epnxMHsoY/
bUPypX4ixuFb2K73KHKSpt7bNrzfebpetTppGOkpc/CC+pItqvUJYFqKh4RjRTxE1yubCKfBO4UT
pS+To3w70cM9RiaVH3Im6q3ZEyqk53GEFxsLvu3VLTky0xd0Yufn67wwQ3ydrCVtfyydpX+mmplQ
lVmUWzmJ+oCznaXYQCONbcjp9rbsujOoXPVE4f0QTDa2Fa6IdYZhtNdO3TraoGNiyhmvE89wnX44
SpmEmNuYijKHd8XPE1PbOg7ZyZt6HaGcvpPeZ3idrKyxHputc524Bs9g+tJwKLePmESYytLrhDaC
hmbcOqHJ6Ia8iDmOkBYYMaS60zM5yIXY8YVg6suuA+BsIIF1r3NhuY6I5XVaBMBiclx+TZFtAXOr
Let0aWkms6TWrVPnNTgnXUfRbLYQwqbXCdWihpvZbh1cfzkeCLphlABotJ377DrnsnSb5dNgi3Hf
zWC58ToSk9IAymUfHe6W17noaZfpnJAMi0xnG1vlQ3QWtB+oM741rWTzmPUm93WBsQy/reZX63he
olsBSAI41SYWHdivT6eg5hzJeXuDA+FnvMTHwuoeSH2TsAKWtpHkWIFkXurrakDQmEBxPdXfvLT5
cou0y85jyOINJkHqgI90zNt7163DvG4gIq1CLBrXzYQsgfwxvu4r1rq6DHrMyF4DK59U5n1qvLPR
zrvuO6THeU9530Xfp+s+1AmVshtp/WeVCb+ay10z2AdcJV8xLjNsUOl3syFvLHIAMeJE7Xo7Pjed
e5PTF+ZLYpmORZ8/t+uG1iWx5dcO40X6mGt1eh4N+ZMtMAgTG3zEzPdKdbtWzZHP8hWMvf68VMa5
1cOPScptrtl75LzsAKoK4jjKt3oo1QZH45oRpiJ/aOMbWdYPmpWBXxhlVO4XpIL2DpjeO6t1U5Xz
oIrAZX1lDGQREy9k7d3l2ohYkhiZTX1dei0rT8D+1lVYK7303mE99lLxAf7IwhwWWfqo4TqcnKnM
9ta6WrulFD/z676NSjXiSyOcnTmL9yLGpoz1n/Uc7Uz1hVOHnX1Cn4y7ydSJdPEmK7vIrjSGJzlk
OPqJAkwhdmUBAFso7RhFE3hAO5JLdJwKuBaikQZvfOy7JSQpBerse+UKmE+Sryw7AKPdtFG2x0DW
LEf2j5kMhtSoccNIYg42ZRbq8WnUWnvpbrTYItEEe/qcXmZrzKw9rnLLO4eqyfjkbKNBMl8DVZIn
CD6OhBrGZjeGhglwcMUwPFiBQ6NH1KYpGJ5j66GaIBTHOokr/NFjhgcLya7ASFWW03MEslp/jCt+
Uq1ICrw8oEo/Yzzj41OO44+1Ce6S4/rcRCVoDFMSf2pdQRr9CthEYA2sFN0K5FRJCKgT2SMHSHUF
e6poMqKj+wsFSq+QUIwqRO3tK1RkWbV+wIgCgCTzPOuPFMWy8GWaqNSd+IU4iRV9aq5AFPp2bCHw
OmyoY1Sj7BZX4Epocdft28a7bbFHurUscJ9G0QaD9m1ezxhNtdLZo/WNto7q+/chzu8MvXilv+W+
HqubPGrsTZONdzEly7tysdc4hiTGZTh9OhSfPlANr+2jwVIBomgobd34IWko38NA2zu7Cpcd3eDp
7zrL+WZOqmgHBj5t8sa8r/HxTDEhGEnuORCYXXLMYA3uK1pY9iiyyT7THRngnLokcdPvZVqYfl9p
wm8sICuOfpt1iac1brrmjopI6deh517srJD+QFzRLV/gcJ8ncboNMwtomH3+xkggDaPQezBi8kgm
i1i6hF/i2IbFW1mnAnEHcHJSyHFrqrrfE08w3izjPO2lKMx9b88f6aheVElUHyb6S2uQs6RmXZ2w
qOhPGRAaQUtxkJv1t7LK9RNU5nIgUl6cbX7Q7xH+7hx7cjaOjhulcqPJj/me74xW/jR6edYFk6Hi
VyF3RIjfl6iPIAMjapEWzQicOi6+4QnV8Cvz0kOncXCpNuU+j3v9oa61dCeBardLkgZLrH1G3Aw5
ntsS3DsbL7Fl/t725QILEcpz41BBvomFfSFZYjzjc+03eR1qDKZO6rsO6XaWEOAHWZK0T/hE0vt+
sMxPgMP0JXKHChVp23bNdpml9ciiYx/iwpxw3fI8GHXkjNsBqPOdXlX8lfD2zc4oegcmno3g0FRp
8SbxGCDIngge5Xleul0/dkhYMAmb70R/d2cqZvCdjFEZ1xup8vmJeIbyhTWmeGuGRvfDuinedXtI
UuyNk9wvriYeuD/UtInjTv3gO5SPJ1Em8GyV3r+IMh2/BghdF+BqzfUhEMvjK2tED7GxGPfmYpdA
jwi0t94aCIT/RsfIsSw/iGvS7yU034kcCm3fTLN26zBogWVHdf2UOUJkGFIQIp6wS17dj4SPEtKB
BhSTWQPFVjjkiJ3mAh86UP305cxmdg+1GfbfNAVkAssa55G2HWJWRILYRnc7d+YafZZGlfmZ0S5C
IE4aJ0/hkvDtTfoOiGIqj/heVevbYaE/TnpvfJ/tPt9x55lBX/Y6WPrY01VT0jfBnjx3T0XsAUQO
Ti2CGkOqOqg+x+jcYNbAHSKN9zarCwCrKHePs8cW7IZFc8GhaWJmx9j2MIlGfdc57BoOnblL+T2H
udsNVqo/DElWnRmK9CKY3cm+66oEC+Zo4cRD2kBkW+YO2KM8ew5DvCEmFko6jlb7XwUfysWQQSoD
mUXR1yh15qbR9kDoxhyAfoeW3zg1GhF5uB85lxPJXJzMLikaxEoELh6nNW7SLZKH3Fw+7TZ+W2za
pgerP+VDfiBdhPdsiXSIjqxTAbLA8MMC8wo02zs7+nIvYqYqXSp++fE76iAHjw0DMA/WnAbMOZgI
9Etvk8SxsQSZkoh/mN32GePlThvQbu/+wBwJ+Mx2FbgiohOtI0ugaploqmZ1slJtxCpvAZ3lJzQI
cps1pPdaXPZ+G5VA3P20kTP6j7GdRFARekW8VlRuCK5BQcA4L7cGtBHPNpid5mDLJM1koB65Hxbf
m5Jy8jXTqka8NAVsRWbU3k2MuiN9aTIifR+gFTv1lEqsvjunQk03CQkmgxybn5lJi2HHL3ovdMt9
WFYWhlELIsjGPAHXX1Rf5PHXvpLptlRYpQpCB1/7qHCrjXLZ9O9XLy7LgRB1dvDMqiAKainU6zCM
CA5V0WpfsCi8GXNZLHDAMCTVTsVaMQUgn+MXj9ZZtbE6c/hadwpP433ujKb8tKh7is8YuvtXC1Pt
vsWS/CERXqhdxr+GE0d3w7uYy+YdzYx96cyycUG0w0uPkj7kaSag4FRbPQZfS2Zh5C9UpoVrELHs
bxMD2z9pWHNBY6KUUCKgXS1iwDRO7Rei0UBySB/LvZsRu+6y72Ji1ba4AhUCC9fmsKrKoQ80z6wf
yS+qIfVJJGz2rRPP0QZgqtJ2RWeKb5rem3tRE9yyYtfaJW3yflsiAwCvNckavTXKuR8O2SQL3606
p/kejcRVcGvHbZAKm/SLGs252pra1DbMaEt1h3DIRetSCGrJsLfMR68zkmWjKtzMAI4GZlzy8Cyu
W7Psu228iBEO3hb1cCEelBrxvp25ySIEEu0aalMoYSx+zo7Llc9sjrCScOllFQ/VBzkViST0FHhw
TdmA8GxDEvaoCCeGAcw5VCKY6qpDpYjWujgYcf+Y4grC/suuhyDLGsL4xpCOPPKEl8nPakgi+zZq
tYrvbehUu5QyL5YMz3GUu8vJqHu0tKp8bF0TeqYFyVzS+BUmqHtAEWpU2yRk1RytSrD0UISyJxT3
SDCEMM9G2HsdSc4awDcvHav+YCBR0ga0AiP+QTJj6/wOWxpfcg5735nwKdRuS36NVx7IIl4CzZje
pSpxUOFt4TPW3lmzxY8ebje5q3ie4ocsy+ZgdPFzs/QW5JKBZo+E4jUV7JlKo/tFVe8YE5/zWdC8
XLsnqXdUOmaK9MVYS4PU1H0+QnD6eBp3OdIgl/NpQ+wnvDIHDDm9/WNJv2awmC1JEsls+71qHSI3
9AScLXqoPY1AnhqWR2u8noGPsEGiE4qzLMITuhHsuLKbmB4jJyZ/rSmhDa0fmh158o4v6IC+IfUi
chfxb9coBKjd2xDwoG1w2hhAadFS9Q/cC1RL9bo0j2GG1RAB8OQiDUQEYD/HkVE+wxAsimhglzBJ
Zaq2OqbXk3CGpjADi+QNueNaKOUhE0v0hZC2zXw45xz1jevBKhsW4Vxp6QKNVqphbB51x3yXXgyF
Ms7R9H3kj0nVJaUhemzaKhb4T0u5d6eQH1dOS67UIA1yTr2BsVHKwtjq3CbxPanohDeixevjswU0
H7+C+kIVa3RyESzL0xhnL3xY0nwe0B4VuL1JLtsgvYyf0KKPWdC2hfGqYsIVJCsEJpt8n6TWgvCQ
UAECXcAGQyP9VnRwGwEObg5EvgWc2620TiolHhMrK0mnVSD72rE+iPDG45wsMn6aDA6liH1s8uti
6PKA/9j6tIZIQ/LpdOX0pHtxN91qrOLHcXQaIPokWR0u0j0WV+rjipb9Gzr8T4xV/9SMsPvxhREh
/4//qUTq18/+DUKkE4peJ4mTzxHWah/4O4Royd/AJ20iTSnCxI0g8AH83Y9g/wZODOAoLCya+ACx
ef3Nj2A4v+nIqGwcBK6Nuc2z/hU/gnVt9vwHCBELwtoi5pDEBf7p/cVuac3NItsChQnBbthRM4OL
9HMazDQ+j9zH6qsuC7YmIsP3zAc3obT3S2XuDNGei8jsN5mN4Mqda8Dx98Ydd7qlH/VInguFcryq
HpGPwBgl2zEhjTVTn81UgWlLDda8/tHK9FSEeDC14gEjLL594r9Y2ANMRDsmiSaAaN/Vwt7xdL0D
PuznMH6hTAAxgryHILzpoiHze0EcTO/dYyB6iNFyN7G3G0Zs6yFHlNdoJPchkzETVjyEAE6i/7Cz
8CnSxKGUYP6MwHsCld5HZezn1DiZ1IiJ3npShnvp7HSrYmvfugjnsvkAMIVcczoaZssZFJ7ctV+g
RfRSivo9tsoCd3l44p05geDt5h9jfds5z2bmbg3O/rp/yTvXp5UI297S7EuVbpCr+hjDfYTHB8jY
PWbXSxMx2jki29lz/63U4zOOBBQEiLstUBRt3KQUJVrx74LAY2elmLPAAkbStBZeWd8qiCE96Xel
xow+/pznb0vaB6Qi+mySx0hZQUNqbeXNJ5ecBszdiCtJ7CZ1sFo+ZBFvQtLE+6E6Workl/StLWdE
z8sRkZzf8k9aSBxAlHXuQWKYmvE1SqZdYlf7ho/TZb9br2DXT3UG2Tn0p+HW9XLfEUyxBEnyWns3
wuMRb/VB7GuzOYhB80v13owncvG2RXvXz18oRXwdhCh+oYZizn5qbber3Gbnit9jBLRZetLyRzPG
x+cdFq3dZ0QqOp3c0WS7dQD2kdJ75EtMTybOD5Kh35WOnUI3yJl0b6ZQ3Q4RgddpiHzAjnfsu3dw
UYehsY+u67xmcX0fLfbjnIyHZCRrioU58fgEO9KTIjvIu/LCTHMbRt3eEPYeeLsNhvq6px95oo55
guKBqFuZM+DNzcWxhn3v5TsE8/vEnIOQ9RbgtuOD0+9g1G5JEeRVZXxJdXkePc562/xWm4TGVCwR
iyOJNuTsnwEJuAy38yy+EpnuYhsRwLA0W8ObbgprOShPJyCqwEMfqnzTe2KfT+FdztoJ8bu3gH1b
8hk2c0+6VGEe6G94U4l5S4jlITRUsskrAHhSAffYq1yqMOIAYOylTPq3aOxfRYfnoMsxqnASPDZx
QfQYYf5Iw8+zDpGQhjyFyeusTPc4ef0R0fWnwnm76VpnOzvFh0keCCWipHQyGFPvKauK3Cn7ifXi
s7KBW3PUhGns+ro2vrAUsHciPiH7Bqi7t30VWaH76hGGicTUziTTk1Rmh0XfkmgRlvEg27nft576
9Ii+2rLq14RuefmxBPXyi8T5rEPCHMnRTS+Fkl/lkj1PI/FRhQJF7JHGBlafHgmXSZB4kMiPZqoA
Hx6SXTh2w2NaL8+UbqebPlPnicTHDXs0t3j8wgm0ayJzi6HhEDlZYHtvwn6oXrImD3IAzW7NTAPd
cE3CsoyZI8Be0b6u2mmILoqo3ba8wMbK7xH37lpiczC+Gz+zoUuPeSaOQ7Jskca3gcgIV7HCA3Ft
RKRot6NpbxON7U90OuOntrUW76nRjDPKCaoQUutsj6BixgjSk0xmYMTtu2tWtyhdbpPOPqQtkvqK
aapcfnoCxb2WDtj8lRMI29115fJVsuXUtnf0PBuvR3nvJIg3k7x8Auw7oFE9EhPxrMlwj+/rNe+8
HXPoRGYkMVr6wSAEtnOyS+v20L9N4xfaZHIwVIe4t/aDWx/I9ZDYJeRnOnc3RlScsW59zxPjATvz
bZQPD1OKAJY9GLnruw1CvfVy4WydKL7TKpSy5Gh72N3YkG2y1AyQGd27LRt7EUGTa0+uW9zaS20F
/55/unnttcTYa//zMMkfTZTUP/7BiPnrZ/5mxHQgQXFZeowqv1jQvw8+gsHHsvA/egKzLUPRn7hT
77fVSY9+61eBpnAhcP8++Bi/4WUyTd0Q5D55ZN79S4PPX1yYtHSSbm8YRBHwd5EV8I8GZqtD12o7
PaVTCHTQTLXx1jMQXP+JUL7/NUb9OWzjr4bfv/wr9l+GqyGtPakmHJ5uVoRMItm7nhnv//zfIOHn
f3gtxM66kkhMyySE4B9fC2Lw0F3mtN14+L2p5LnW80ROqX2Va2dP36z1PUkRNe8W5RnIufUVdcgn
s0NKFMXGGkpe9NoB9TSFKACqsXbC+b+8mbKZSZtt8uwnIJ8xP1KCrNAeIt/85uZDRkAuKWtu+Z6S
rxAdUeyZC4nQqlI35O8UhY/MZx5ZoGyN0UpLZI0kRSpAgQpv1iuR91xqqdHgYgCRRHc/xjrhL/wu
mUGNSKWoegi1PNtAlPBwN7Et8oNBlBZB5o6b9ltLrO0xpbFYn3XSEGGJhRSyN8k6+zl0a2TmokFb
w6jjVhRJmRaRipWjjC89SjHk6SvIRgpLwmq54B/qdFUrv3CNvvHhobTXgrcW5HBcBnWQsSyXU+lo
yIg8gtXA5TPw2Q2hWeQu9xWq6cAjy2XmoE7Ht4p8m8lXpdSeEBilR3oYOsKG19IdfLqQ5uO1iydt
ZHEcrg09QDPixcAFM2wWe+3wKQcsJihuo/zD4faEHZ1fY7l2/tRegvptqj5A0btnY5awDa7Sp6f2
WheUXquDmmuNkJwJHNk65lovVAw8DRtcrPHFjtcConGociLPOgoxpF66e9oviH5I196iuMcndIOp
qLB9AsepNhrXlqNEFgiI4pruI+hllmN8E2jf5dqONHVlArqzdiaZpWROEmlqBIJY6DGYGQ9vhmgl
C9TatyS6UHutiRLm+zqtjUyxpXufoiH9cZ2K8pTEOOqbEJyitKKqgVan6NrwpK5tT+La/NS6wntq
gWA+on5thjImQ1ChAwnxk9RE0LuqXnukhBzplEqLmH6pCQwJLqWndYo0my6+sXWZbMJrJZXRdPJh
tCXy8cFInMvsgj1vNNBgayUfAIAGlunUJ+qn/wRYBo77943y60YhX0fn8PvfxTi3H131H/umwkry
51vlj5/741ax9d9MnVXaY1ElU9iy2Yv/UOQ4xm84xrhVhG2yHxMN/N/rNEs4fks0nA6FAoJv+p8u
FfkbKUMs06YLx2Y4lvGvXCqO+9cDX6f6GWkP/+PqM5w1ZODPuRhiiojZTSkF6Ia2g01IGuJZ5940
psBJzfYBUA8czL5iYtoVH3OuWJlEaeMbclH9Q8wxb/jNFVgTiGM24Gzgba1DcwxFAfiZ9gvMiLwz
MV8gtTWnjsB7cLsC74TuGxlm4W7qsoce4BTLYN23ZRBrMLccUsyqv9MT0yZ31Ah1X8y8ZRXgLUYd
i6JHXawr4ul4XvMeGvX0XCwDx53uVrheuoKzOUViUV3SCUR8n9mWBBrsQxPPtUsEOClR5aPRZEax
NxLqQeBzNFhRih8arIE5kpEsSm68EcoAz1aUlwj4jCRO0Ma2JrmmswdSrHFokAEOqJfejC4eFT+a
u8LYF1eoOSeiTO5ycpnjwGT8Hi55LSYvmFVNflNYOAteHh0bd9BrDkoMbN6L57coKQoqjK6guIzI
SNgbUsfAVa3ITOoTkSgy4sch7c5ULfXWZ5OkVboRScYdNHlhQaiAKGfzzlxDA/xSlwvy/rlr2/uI
ZOdlj3ZI6L9zeub2C5LFBLuJF8de0ERla91DOHXm/UBnAXLbOIdxQXoLXa88p+1OLl0b33LMHx+9
mZevYYbXcEuaosw3C8bBDZly1j4rsOnAAAmxjd2R/YMANStATFM8CTFy0+TF1l08XrIZy8xC7EzT
iN83s/0BXZKo+7gvxnu3wDhWFKSnTiEEwyWOFQpOi7BN4WvUBEAcdF6R3KmuhY1ts5IzTshUMD/0
MmPX72kg2s5Jy/E4znO3isucsd/1sim8wK3ypb9fFvKrQdSBSVb91kBqWrR0q5mNhod2R641TnWt
zz8aW1fvSTlHoKAIjhASiIp2lbkfdb/2jJbowjyMqlONYUwH0sSMA0pdPcNP1NMpyUDyd7wtUevz
sEzWB7EI3i6k/4yoI1QCxg+C9WZg1UR2+qGXw1jrwYDEAn2DhY0oHbYVGGtXlX4j3NoOSQFeQlSg
6GhAnrMTfz95tAFT5PJKmnPDCtQMtEvwUe+tbn4DmUaLOmfqMdO44SvWfIyB2GWrqJopqxigSE0S
petN1cLh+qjfkHbqUL4zt4q7UDGl8HVvKBxKL2Y3xS+aNk/v8QwPKbxp2rV9X95qshcHQi6rT9Jm
H0swBjopHejnSs73RONASeGcyhNfMKZkB6TY5E10qax1/NClUfkirINEI8VR5DmZhlWYnRB7/X/2
zms5biSN0q8ysfdQZAJImL0sVBW9N5J4g5BreJPwwNvss+yL7Qf19i5Z5JChuZ6YiJ6IblFJuDT/
f853xuuhdaYb164vDBF1m3as4xuvz+Y7XOfN7eApzGNZTpiL51EdR0qczpcVDLFzEqL83ZQsIaAE
CuCblEY0AWtiNj4vvot7J7W9Pt+5RRteN4NcztnBZfc0JNqvHhFpOO9zXsONiTNt266utHioxPkk
NdwgW0403pkvKXlYtYuiY/JVcxlFnbwpFImOm9rS86/Ss1HfQx3PMspaTliz0lcVTk4WffZNcDDn
TY6nlWYOtNYayId0jA3U0Mm+dpzcuJZN25y6IhMnuvVWAgslGyJNqtFMdq6RzfdDRcQI/S8Otryc
7AMIphqt47rrPObifsFJbJT00kxHL/39omvC2Gorq68QwZfDhR4kZfmEnR6n/DG0F0wYnIPPi1za
waS0nyB+gcGCIRp0Cwx3SC58rLatT/NOodKYsWmhTW8e/Khp+xswsaV94o+tF16sqn32a+DUln1I
SGh0k4Km2CaOgFbe64LoTtbJ9DgeauZwEBC+3WQniVW1VNlGV5De8iXN/J+Tmw6YudvaKa7CzMxY
TPxJ5lRqs5m2mTFgIqjCDuBulGIvPcL+pakN0Ng4WQyHyggwbOMomfv94FYnCwAsWvGLkgEhd/Wl
mv2q3ZJWoed9Y4b2k2XaoHLV7OErBsvFajFRYTTsdjwmozQk5cNrEuYc/JzAQyHDzIFRAuYNsnHU
VyLVZxVywvgsJ7+GDpHAybr30gxUaN06Dv1ufCVozEXanjTY3b2LJWrq3WKMzONjT0XhM25QGulV
R2tpCYELbtqhx2lne3TLI0JN8XSW9Oht/lRaN+68kyW8gzTNoCeP7OSPoYODq/rSx9U9iVrrupYt
6kfXdzMVCwznRw0SmBDg59cKj1YPUYJ3ZIOeRhdfl2ptgDJnC9Adec1bvgB06bca+cEF5M50bZPP
hnMkmATSvctpr0TXa8a3VC5ocqUpsvbUgq6SEyiVQ7TbrF7JeEjpxC/jN1j7t+Rw3Uq2zKeib78I
kPxLy1o9WD9zIagctr5Hf1Xhph6BfffqHHfEQMUJGW/hrFkEHImmvs+qY6A2k8P85/He+xBnJl5W
EZjS0uokJrqlp5QXOZc1sAub9QQOKD3cxRjaXdRqetVZ17TfnVFQXJKyK75X+QCBtsyre+IC4+rc
CefUOZnaknUVVgbhRbj4VxJyDHZg4/fASDeNbZW35BlOximHuj7eYdxzCLDJ0vZh0QlsVcJ7Sn1v
6mx6aCtnYqEG0K+PJqOZjyy2AM7CYcSJL4F5lPNRMwMCXOjgoaJp8/y4RT440PgbGbHshPsjx9f7
UNvoVQOkeeLXElfOrWknOg0aXZEHlQ7XxMZs6wnLGVTbYUcbfesPpr7jrsanzPHpbiBANpImEkhz
SvDxDuU+1NLfohpzSR0Wx+5oNhozLSGqwGF88ybq4nDi5Kizq3mJH8At5OVOLIgfgO9ghcQNd+0m
qUnlbfHyY2fweypo9eUAo3hDkial2Y6dQZTHNZQKVG/pQ4bz6Sx3Z/Bs+PW9x4o4V3ggS64RMTZo
o/IgGZcivcHDmqdxAISBJ4QdK3RW50OBk0fvBmPAtsgOrSBy72jEw2Qg68tSuQKDoOYBVqUBWsjK
w3LBvvHJqbzhosg50T79TqSU0dB7/KqCZESgVMgdEIGO91YieZ1FZSZnJA8AMq84H/4ayzB24BMN
qz3PNx5hzdY7q4JPWIJkpg0O+2kOr4zOQvEIadc7spoFjAEmmuaLG9JECFJr1QWVxpIs+HEkBr7G
Ljy0KYQCU+wuilre5zV+4y1TIY3ZOVlw3xu4eONNDe7dOpkja7gtqiKp9jHyTxGULvuvwLGLMLmM
ndKPr+uB0gS+3VlctK2fYFxxk8X53tDOu4KF3vyClwo9HzkUFA3c1IAFGr2c4ruLHwarM45qbSy/
OFbPt8qNmLBHYiDhSqM3C7TbldauU8NS499x8zPV2+ggc8s/6xCGZjtFnqRE+tDqU3wkmTiSJiel
K/q846pWtwyJpX+IBs6pFZCq1mnaAApCHB25Om36s0nHHrswYVpBqNI7PSo+ublGk8jEVTwMTsdP
pV2ozl103hvKhMg+RnraJ/VEegjrg2aCUhzPiwAVsfmAgU8fOaiky9Mi6fMrNRjWfBK2/oS8sE6/
dWyv3CMyvmp1RNFjnI6oOe0XmuwkNf4iv2lGpYVAqE3H4wybGbYsd7oUjRu7XIOu/ePJNvunWHEI
P4lzG2Yydcm9TQ2n3stkbvDyZ2wXj01+koZZ1J9XvhOdR6G5CsBilTUnSmdVFKAA9BGbeG7tbUnf
PEmrvjxti2YOzFDbjxXC6nkbz/VMxgb0G+eoWVOZpx6xAxkL5uzy+VS9uc3YW2eXOOuX6thQIUE0
hdYkergNgrSt5KUhchXKOt7EDNDxsEXVDThdFEaM0VZmjjyvCGrc4csd6dUUoo4DuHMaXJpfmupi
dmx1ZJY2oaZGDLPAZ9sJtQ3kM8X0YfD2pGnYt54aKpqoeWjR9tHuXa90mIG3QIG3sScHLtJAwHFn
hQl9nVqfUUufjtsS6zxil/anizICwnDEL1l1vXX53yrG/61iUFagTf/vqxi3SfWvn7/+dfqt/JU0
LwsZf//oP7oA8cl3BFhBShIIBNYm/j+FDDKYqCFAI7TQu1OGX6u9/+gCTPFptVsjcAbWC01UPSuP
m9YnC30BWgPL9KVYf+4POIUHdQxUB667cpGlK4RlOodMWxJSh9RFQBj4WatogJO34oXOcvTs5rxR
HufXfY5CVMThOsh62TewOVzrNi+rJUw3JkJy8hwhZIAFseV6fMJLEUeAq94f6vCCGMo1qZT4rnS5
RXL978+ApTnUz3WLtgRhr+Ozyi/Lfb62jt4f5YDtuF4QFXhp84R8ikOrpuP5KDBgYO21dMm7KJ6v
Gkw1xOblKO5ms7hKIbE/0OCQHxBt37iLzBAk1LF1tGxwrC8HrebGalBqTYhk4YoNssHabnfFjeyM
/OT96/tNx32mFlkvcCVXmg4yDupbq7ft+QXWi9NwxjPmwC2H0g+SLG8f1jilgo1973nnoTu4f8ms
br+UXkHIrocW8WImlpN42iQjOhRDf3GNaDt8VODAgAb4ZE9gdEX8uiUP0byhEyPLXd9yIKd4v0aU
1MKbbt+/jvU5vLwM1i4eE60fx1W8ey8vw+gJsBbUt4I0WrJTRKNIUsay+ApdBMflCAnldK4xDpfo
OHfvD/36aVncO0EHjNeeHfpB48nQ2iCWlYINxWYQGgO6a9mLq6zq+w+aT2+MhLZIOQ45PnTLJGXP
588qalmoQYwu4DfJWMAIZhFPPqfI5xcSGd+/qtefF/ImWKeuY9LRE/bBix+5YiqqeuG9mOac9v70
U0gdfYDPlWu77OCxQa7ncOhR5mW3f3hF2YyQfUH6EhoxxRrEzlT1I0QE0VycJv1SITkN850pUvuC
HmP+SxWz3L5/pfL1N84nRg16BZSRRXeICp6XAQuc7oaASgBKnGIR4Rn9rX5fWGl4rKIaHX8YObte
jhbeC7ZGdiaouo32ZD1ZlG4CgSjxWHtlcRbDhdMEoTfqnJR5r/5gOnrjqTANuThYlWtjEj1gXU9w
8pw0o/IkjGagodaiY2zFR0Dvt0ZxhWQho21r05k6eM9GQFrkEQ8B8VEdclNIVqrC+/b+fT9ocjLz
2CyJwNwRqymWuIPvJpstyqI+eWnJuHqToItR1GoQwELk3xYE3+3fH0++OSDqT5N5DnetOHil7cpI
yZ52OUQPiCyxM0ap+o6B0cIjiXn7VnoDWL64VZT/srGyzyUvQHLkqGECOpk6w7cmq5cfZNpE3pY8
2/xi6cIpIVjagmz4/i8La/7Vp2HTx+Pbo/fBg/jdI362vonJd0nc5JAOY4ljheWvRybb0e2jRX53
sktlazpQbKk0BRbn5PsY6CDwIUWON6Van+pIHAPXTQGEfndaesh4F7X4SgWD2J0ZPNKISyDtH5m2
jNtu8pvPJo5ffkC3/TERffYvJOm5w7a39It9WCzg7vxZ+rDH4KtDo7VdIDihL/LrrJ8ScrfLtv5q
VLMXBzM2oHuWxynGqFeJz3rIx4x60JDcGSL3boEpYkp1464/KcIRjEFfhfNt09lsv7u+6j5PrdBd
kOQxKGEARYZJD7mzkQMBBKLKM3T10VCMI6o4L/RpgMty+GqWgoZxOoMXIlyO1SbJXDVvtTb5DqFo
mn5gKa/+0lDk54xdcLa0U5yA29bpbATkY7lcWAhsoO5b/DE94txn016M0FTDKTrrie2h60hgS//Z
n3GA7WD8pl8dfBgysCGoPfa5C3OpTDBHGbZR/NVjHjACH3tuu6WNtDziHBnBpYfCo/NTM6Md1wiM
IqzRXTRvFyMmp6FmQ2FuzB4EFaQdzZsKaMS7yWB9LtzCqP9JMWUZNpNf4O7pl0Fewu9A6enHdfdV
u/hDiMWCfIfda0A/2FA+r86jaAavUU6doK5NzmLVB7Zd5MlDFWqBqRgzUxr0XcmpC2OFj8o4IhOu
tBQBvCnqwSoQVilPab6IBYqnO4FgyUcH1kgzX/j2KOx92Ll0aBOtZgg1Kcksu6Gx5h+x62I7hOdM
gNfqM023bbaWaIaJ9LVgpIp2w2TkNpdy9oHK47yGu7wdHJoR3/DMOuU1GfFYDAlM7xsVqNzW44lP
pJADhJQc83On0dN52A8GvY6R9X/jDMuCDoT2cL5DqdAONKthAmBwK2n24qRCk90uYfqgxNLGBFxX
rr/FWlW1fBfpCrtIVfydxVZiahAY4HjjwELvOQbX/W6EWQsTzOFjGzSMCjrczfcuUxCdGh3zTdJx
cx8RP5DEQLcm/t5OCp9km+Z3EFHlHbqCmh2x8OyfbJUp7YcNp7ydKWPv0hsXrJEi57jP5BstHBWl
N7lIS3txDi7G5F+Ta3wpcC/AOWtxre4NgZlp44YIozYSKqVPDhNfBjl6GmhxOSv/ui5Tq9stS7xW
G6PW2y1dw8Z55QK3sIi+eEs9/zSpGPDmNPP8rdB2KjceKn4jGEq0dpvF86rHnFPnZ015LtpaDmr5
3ZCofAoik/z17TSp5nQS0GkuiX+2TqsBFO9mmkG+bWJaKum2j+LsxqbfmO2ZdNObtjIBugZ4KvT5
+sRQ18J+NC5nlWcJvINxLeb4FmCViM4UG1L8W4qXEW5yXRFBCRarpzlRlnCPmSQEtbVUYe4yMFw8
FJQ6+k3tek4XmFpCHPQU0wt6wbK6mvgmyOuzQArTZljpyMzmeeAnbo1z17EJ/sHSgIu6z7sfE7ZE
6rwYoteE07a/boCKVRsXr9SVzkxqU5jmCnEMf9Mdgx6r6XStkyZ5xPcQd/vJVUt8WgxRfVz2BTrN
Yhplj6anma5SEDtwHDr0E5RtomoiSWJy77yG2vBZFzX4GjoTIN1voHRIAWa2252/9M6ZrXvOB7IU
w33Ru+0cjL/jPd3fUZ/2mvoJX4sA0HHNAgUEBF/B/x0RWiRj+MgcTaOrnWqkzxC9v5lW11aBh5n4
jmxv+kz1mjwqe81dwktDs4iWe/E95rp/CPgEIazFlqx3Nql6W3MI26e/w02F5+RP9jwVQLHjjB5S
/jsKdYaKPQY+ou78Avs3xRWZENG+b3/HqKZUpi57F9/iTtbkrBpWKn8ksg/rPQQ0YmTnpiFxq0cB
TGanXp3rUWZ415FZGd7RuKa5UmT04VMsg0q3ZAQqb6PsNfyV5BKfnuEaCctf71z668mGGYTMWP93
fOz7i/brfRO6M7GmuKDZ4vC77t+fLdnmLMCEm10bEMoYnaaVsZyEUzd9cAp4fdRhB2Pi3EQx4YIr
OdjGVEySFNU90IpGQh9DtDDzTDM9piphkPWqqPPVU4uQ1GiXv4f+r0HkfxA9vZ4Z3y8EHTXfSopB
P6t/3fX5C1HL3z/9Ty3I/0SdxfZdBAcu5/dV8/gPZsb9xOHN55jB/zhfPZdKmu4nvg9+zqTUsyoY
2RH+I5W0rE+caiWYGWI1hL1mUPxBLUj5B5tLak38JRasGV5TVN+H6U38x6yntKF3neVcOzqqIQyM
NLRWbklu5ggbFmgNVJbtlig7ByQVpogZcFKab4RXCNo2mA3n5s70KQuw4Fr425cKwOK3vgVjfr2E
rchatvG+cuLdUlhz/C3JqObYJ8BAa+PRWzWLkA1p3ycXdNBthRBw0TmbLZk3Q6pQmgzYRssiNUKm
elPHTEaDq8rwaSzLZQ1NnbrmDIID0gS7tlr25KUgL8NmM88/y7J0L5RneEhgqqXZumUE9THMzXE/
pToctjAS+BsTQOrnHvwsTMIWuLu8sMa/lqL1jQBlfPI5qyqaaIDksbQaBMp6gfB9cdoI9G7brHUj
kj0EokdAZs4PYUyx3hcpTL7NnCf+HYuN8xhWTfOYhF11NxfoCLiIXLCBYS+CTNVJ71JH6iuX4twF
d50aRSoGWjKobsK9VTflU0pQ5UM4k/gUFCppvlugleHJlE38V9chvA/cJR+cDeLCvIN2IhoYL2WI
NjGbpulsCfPkW2JBFdwYrgh/auI9bhZhQQfDZUn8RTdFRDRR066vvagx6Vqgnidhi8yhc4juvrlB
qzA/pmrNTM79eooCw0l7FxGRmcVnRlLTeM1S07q0kR09NoPrEX3L6cTchlzaXdpVmDjUJMzPtcx8
YtdovU1QvEgNMwbnXKAkhNIyTf3Z7MydjbuezNTABfJwhxrBQltqG+lV0tkRuZ4cPEo77He90M1n
NozJeZhB541iJ/+s6M9cJJgPCeqYB/Btca7sbmN0fYTMIKf1D2Ihz88zXNj9pjDXkJbOKSKaZ7EF
OqEpvNuqCvH5NX0srstkXm5K+njRTo9TNxxj1hQ/M6+R7C568n1TJBMrdYl3j/OZ16zkvYKKf5Q7
IAMqCbBs0CPbJuT54AYV4JBJyS8pKeTpRvM3jGBVJowEvlA1MnyLLJemmu07Z3TnK9cu5vPWTzHR
G2Sa3CWdz0lh6oqERmnlksYhCqkQ1yYV+kaipUkMiCcL6EgmjKfe7YbPUYbzkG1in92XJILe0YTv
2blgrLmw66xipzkaMLNFXBY2R4uWQEb4dNEvSWfkNoIW2yP0KvJbZyiH75hQrRlmkDB+yhD6ddAo
LCSaUvBtMzhJvM3G3LxU8IGpR4XlhI2T9Ig6SEwz+j7Dmv2WJGZ6K9GtRch6J/+2jSlWwxEUVQ7H
r1zApXLUPTYNc34ovDq8b+VQAPaferh/qYFL30+6hTBwMD4WWphp/taSZ0zQMBW6HwMGSxID8Jlz
agu1OiXmmH1aLy3us5864ivBB9EX36NPsyOwUV72i6pw3pMLGCQGeieEUUB/8MEA+9lGzWCeGpzA
eUdckXPsbzHHtXHP8baZHPATMWkYYwDDeqQzHmO0yaQSHMmJgQBrU9doo4U71ufcSO/JiBL/C1Ki
DhsTeiz3DPvzqk2Y0vqyyMuyICuVvu8GDr6edk3GPQnwXfDV1vyRWwstyAR5p42vsZShMvDzxjHo
8jXI0E2IP6tWXKVPU95U0xGbBz/Z5rIehyC2O2i9uhiWdt0O10dOPWgzwOu9AvMTaXG+mzk3bXor
NTKoix0euVQZ8ASSHKysXafpl6bOkntQp/51ASV93IxhuPA0BiRvkA0MU2ymxF6I06Wn+g3wTP1V
ABDnzlVUkTeIqsPvThzVJGn6OuUL55wE3B+ZBcgwB1k5zCEa0KnQebKzh1jkm5xQU3phhedeSUBP
gKHgH560FTRiKv6D8LbeEpvnLc3GhyhrVsJC4yRnIm/oOnoNRasN5u/mr5GmyHmiceFvoYe47jbx
TKvd2GYyDYHqyGClLzkbX1hDx8uaWqfceski762JgJCATiPxe4CDwalAiMRvFFENuemykHY+WsI4
3IVYpSEoCNN4GBNreQiToZcoK/qp3kjP7L/ZaWvpAETR3ASLEjwvjUQO3x3HtmvoJPUmrbua+Wha
CKyz5GpiFO19kVUNX5OFdLk0BuZDWSSEoNtICUmHJRN5J8d6gfCFXBGHcWeZe1rwdnSco7O7IX2J
jDjfnzrzzCJs9lEuSGO2YTfPpJM7IxAmM7V9Y8NH7V91JYANxEmGaHdWTAz8Cb6AqrohgFoR1zFT
BfIp/H+jKUmHfpBMK7u61JzGWcQdrM2LhM44ib7/hlzCIHGhb2S6Z4knc1dNLGIB8jxyiVXGSWRb
A1MlQan20qcFz3x+xQokU4JuDYmhC4gA+hRvZvIZ8R8kpzln9+JiHBIP9HtGcdAaFvCqRTWlhPos
azB4vwg0X5G2ip8yY+3Zz/GCBmOeZGzu6RoTkcPR2Ghwgs1w+92+tcf7NF84OBZ5bUgUCWZ4m2gX
OoBOqUAQmI2PiSCjpviVl1M9BCDw/VsYdeRA6mUuLhCvdF/CbhWPzlXrXGjV1cSOLHNdknpfc35O
4N/fDn1Vg+Jhg37bybVqP0XzOG3kiDllm8Nj/VmRL/3QIBEjZshLBSfPmTAmhGbuN96B+i8vHBIw
+Zm0b5eeEyq/oKLD0rGLeGphmnbBoIcSD+fQeFcSNZ08Cm1veYqMUVyw3xzEmWfm1s9RSavfLEZO
jVWvzO+QvIgFA6Uo0akYlgzoOxGEQNpIzcPEQMIebALvEs+FzbHYFjzAAUjiPVs8F6t/7zBlZuv5
w5CifdBm1iVbPAX9nYmvEeEGxbRL2Vs5yokmHm46AixzNNF5f97WCdiIKpT5pZuMiCxz0Vbw8zWK
G3jNRvzZS3QDfq3t3ehmBN+D86UZcSG0Q02A9gBClqAp7wZuT8TNwXhyhV6WHvrA/f9cwAe6Guc6
bgLKk6AHDaNqr4EJhT+yul6WgP0q+E578ljxyEQiug8eApKbOkYXEJp5xLKaui2aR4+VBUKPh4nB
rON7DMFdEUTC11+xcjtoJeuStUHqRsIQzzz0Vg6SOQoRtuIpV3K41xM5INRlE+qUERidfksKUfuX
j5pp2CJeqhNcGzM3W0USKUzt2fmtnaCICWA1Ot+xdro3ddmW18lcetehaMnbIk1WXpu85M1OUCcg
bripLbATzPLz3gQYQhkXd8o3N9di2S04vo29Ec6Vv0VVhpUbqF8NQwK2wmcfTEqxn0wrzLYwDZB/
yEqvFsSFWkME5i7feF3E7OzlUa8Dq5pqedUq3/2JRJzQKer2/GkSbvvjxnTak5EAqARszmh9cXBh
sRVLXHLAZu2z6Wnd1D6aF0VaZ0HGUotmckqbwNbZeD3Ptj3uUT4ufcDaazwaCPKxO+e1yHaDkxrG
phtr+TUvFzT0ku1A+sOP0sHY9CSOmFicqQqgxrFF/NnVmmt1kiwaPZ5CV6Z3o2VT6RiiSCZk6xBR
/tC7jLhtfLhsbLQjYO4JsbUpe1z1XyYrBZrVWEgvZQUM/Ptz8/W35n//rxdn5b9/4p+zMvADB6Eo
0wY9aF9ZdLT+OSt7nwi05mDuW4KWJ8iP/6ebMD9h+8B/QtPVJLWO5uH/PyoTGGn5oLPpkvH/2KD+
5KR8UNGxkGVwEofo5qBrcJFRvazo8C5Sbe1LtDumQRW5Yx3gxN/tnt2R69emwoPG1N+jcBJ3+bw4
/TuHFZ2wrSFFk0YWluCwkZtyACmn/Cma4KokmW/8ref5Mf3P6Ff1xnivr0oJSgkCzRxuCM9au7LP
6lS5XFxClyhF9kii9viepn2c0214/6reGgU7MbpWsD4YRA/uney9JG0EG7PUjs3Pgj3YCSr/j2Qg
r++douJGM5FWpQdc46DmBltfxJ0LbHPKbDzmsT9xtMsapXr22SzMG4mT+/79K1v/zmdda56XklT3
TE8A8JXSPrh/fmmtOtuZSApdmqfCINZlaLP0QvSes/3joSgYrbZWZbm0/g+apGZdCHYCGUPlAzVQ
EpSO2t6jPJ0W+QfN+DfuJPZeviiXlq/rHOoYVE13xCiRORKElZ70SeocOwrWB4gl/2psiAx4/9Le
eD+ej+cd3MUZ9GPlDIzXYPesjwsZ1sYu5ST5wThvXZdyHZjOvOneqzfE11AP23Rme8g5ZNsPjYny
E2gCXqd560ye/XeR9N9+XW+8HasrDeEEr75CCPXy6woLb4F7ycHcz5FZocsUyUx6ojE/WRGu0z+/
ic8HWwt9zz7lAaGEwgTGYFVPcBPVgh2xS9kHE9Rbj4peNN16h+Lk70n6xSg2MXQjAGRQVVgSbLKJ
9gnbpv/gXX8+ysG1SEMpWn/s1mby+LadmQPbTBdiFzE6379/2w4kH+sX7Dwf6mBuGha3blrJbVOA
1OLYjY48pCiP2G6z8wnL9VPj9V/eH/LNe0hOsQeXxxLKXl/TZ0+K1mHc0ODFc8RG8JqNPZGmZMdd
/QejYH7nO0ZXypr1cpRQEZkZ+67GoIQh1poqUneHyjl6f5S3PikApqzJ60Lri4NZqfFd+lsw+Fbu
mOUEnp9np7lThH8VdRvf+0xV3Qfv+VsfFbeOmRCWgGMeSlJSpLOkOnIY7lBMHJHNQ4qU/d0ESvIf
vOpUndi8I9pczZ8vb6APExXyPxOuLLvcufGG2rX26TR17cX79/Ct98FFOIb2ieuR1sH7gOwjjkbF
NBGHcITGgvq1Dav5g0VYrrPNy7XKYfFgkUeY6mJ9PnghYsNDxq3KNe2vQTlR0oijH5nuKE9FOLIr
/PuOOuLoAptZdSMpJQOmnkVQ33v/euX6TR3+JhZ7PXZRYLLovL28s8S9eLGcUD/HSZyditwcCN+o
rXuicC4ix5hO0TxWVL4qubEs6vjTnGFkcGk0dP5JPxv6g13Q6znAZ11d3+JVQmoeas9K0iOo33fo
HSLfucV7h54jguwy0JnZij5Pv3dJs+zfvwtvDsrry54VSTBF4Zc3YR5qf4k0cxzHpIGOeG4Gow6N
o8LGVex/rdJRfzCrvn7PuMxnIx7c9tm0poJeDwmqeCwCGLygh6y+/ODpvjkKz5btpOMSTnSwmBNr
YduRMXFsNqgwK1dRz6Rl/sEo6915+QpxLTTIkBYxCfCNvrx7I9RhzxgYBQUpWrwx8ikPm90YWdQd
IhM/QxMnTyPOxpu27wDW/PnD4+VdDx6Kme9weKePkCpUNjD0omyIM62qkzrul4sU/8wZuzLig3DT
fDAhvfXGPB/0YJ4om2Ui1pSlir22M24H7RlnZiiArXpFe2EOs98B+ZooGb1/sa/neJ8F33SEtYrP
OAS9vNdT7YFqwo4FC1qqL53RoyUz/QGdVOlT4Y9BkX1+f8TXczwHejI0LM5Bgg39+o49WyF7KxpL
1VJ6GUIM7o7WBDMXKW2rcvrzvSf7afYyjgWWj13owU3N7IWgdcemwDdibBXZ0u+nTv35jtqHSONK
zqGeySnl4NNDBlNVBBbWNN7q8cjKcNYRsnQjaAUBRBcfTC1vfByrMhRNJd8HCScH12TD6shjMnQ2
+SDa0xjh2lFVFgQDF8oDM+XgEB8Nki1InY3HD16WN15Sn9P4mqnkoFg8dBe4gGuXrGN5XoyOpAat
TKDyZo+WTemTqnEQkdVxqD74NN54YXxTcIhlq82TtA7uL+cFB/fYyC4O5CuiPXRKOMvjTSJQ3b3/
br51gb/PsfTmHbY8BzfXq1siH6OaHU9cDWdghhAuWp06TZitjrvQxXGWU6z84La+8UgpP6x6AdYL
KhEHq0UTg9/pOka1eofeX54k3nak3XeqKqsnKZAmR+kRQ64TcA/vX/CrCd0XJltIpNnYH4BJrqv5
s4+RbOWy1poPPcJ4vjEFme7USYY/3QSto3Blv99ZOEfrbX82yhhRMZwcJm7OfV0HLBJuJInVDUD7
9y/n1avCQOx+cHGwOMGIOlifiNSSzdTxcSQlRz8p++zWJ1Z0C5guu3l/qLfuHJML+1DPRdfuHExj
mZ3YiaKjgwCPxgFlcmN5AjyQux+8km9eEngIXg2qA87hkkuHhkhD0ZM7LCERt2jD6H71xYme+vaD
qeWtodBgom2CSoUn5eDudSvfg1xEhtJRC3RoNqDIz1/jSszHf37z2BnxqdErRUi1/ibPXghdeDFA
u5r0D1skqyMf+S+91d0fj7KuMqzI3DzBvvjlKKAsY1+vGAfi7EkBhbcFNpsQiT8fhU+Imp4HvgZv
2MtR+FqlF+UhATkZ4EqqnwYpxFDv//xLtZgbsL5wqIQwe/BwymrWIbCwGmbw8OjhBNyVJtq596/l
jTfgxSAHuwHXRFhoRPAUER6G+y5D5JZZQ0qf0z97f6R1Jn2xx/PZb3Cs5IzA3M7J6OVdk4BvikqC
o5QOEAmdTvoOSU514kfKXjbVOE1H7w8ozbdGXEm5BDmBkBMHIyI6SvMRONnGjnyuDbHodipJh0HN
AhEgViEBhhNJ8+hU/KNSaPMvY4anplAEx9aY3b7/67wxfVg8SIcqC/QjTigvrz8q6aR4IW+N6+PR
M2rgp9QJfv35IGCXsPZQPALpt96SZ5+Zo8claWtV0bZvCOqax9Tptq3w6WC+P9BbT3P1sbGQ+PD5
Vr3b84FCOyuFRWI99BoSClIEyKvmZC/VcFx2uM7eH+2te+c5fAQABrA4Hh7esfsTOTpUqKE7FZ5l
w6xPambQ7X8wyvps2GeZ0JwPJng3d5G1r5opuO/NedXHxW5SZMj88SjcNo5TzIY8qMPZA4yTkflJ
vG5R3fgyH30bZK2K/7RehJqQBgoFqbWf4h7uMLxlMEDY8O5niVVcFDMw0Rq0+gfz7esqxDrM6vPh
pM0FOQdzFBCnCuUDaRFpHybnxuxhDtUEYYzK3zhiQPeubmtDhBhT3fCMevep49f1B2vLqz0cv4Sk
yU2bgLI9Mo+X7+KiBVpm2ol0/wZTonuLaarakxLDuepHgKrT6OfJSTPwyD94Md/4DDgIYEYnCoji
+mGt26hihTTRRyBToC4IYkHm61gn55YNDB5WCv/887dnvURq3sg8X7UoehOmDz425rQY4BPZBWCW
C+ip74/yelVgheY7Yw+3nhEPL0vmnIgbl8fqxAlpmB7UmBlp5glCwPiDV+j1HWQoz0JazRmHIuDB
YgrcywEoxR2sMpUY27nKibITSywffAKUf8ZjMYYfXN16fHi5ElGVM222cjSv+AIPZuI402pCUgIo
l/b51va1etSoZL/r3s23Upbmdwoi01mNhey4aMz26f2b+/p1lRj8yBSl7O6vRLuXr2tRahENI9UU
NE24hRz3J1avJ1VS8tA+WPLe/mhHuU5chxfMB7o+0zWf6hBu2o5JmphSQ08xTM6ruu+P+VTKD57k
Gy8NMrjV+wcImzLrwXU1C6ickiypjZGHeq8i2ESBH8qYtMUGD9L7N/Hvr/r5RVFmW+3NtInZi1AV
P3iKcpB+SwRSHNiFnRvHPdP1LwPpXhn0c9reTSL0JV4qE57KjOqoPjdns7aO2Nqj6KNTVml8WbgW
+PnFQlJqpOY5vT9jCCTH8dV+gnLlBBVFnh2NIf3O09FrVbL3rBYg8ognLjmm6BZap8JWc3Qajhgc
T8DWyGrrEkYRA0vKYnXMnXLBXGu/L69jO29r4ooAx+1llhLe4cm48baTDuXXmsUnI12eFA8ipnGv
kCmGHmaHU8rqbhXJLVizvTZqb1oEovn/Ye9MdhtJ0mz9Ko3ae8HnYdEbOmdSEikpNG0MUkTIfDCf
J3N/+vsxKy86qy5uN2rfuwQiFQyRdLN/OOc767BC8wDUO4XxdwonUTn7sMj1vEtqjHUxN0D+i4y2
SYLoC6h1TCu1lqM79SQKu2CvEATzaQJ742gb10GX94dJd2G6djObXGIZaiIx/Y5IuLgRitZgZuac
bqwQ2fOGHLKs3ZNPn+udLDwJJb7TGXw2214iKE4DNQD3klkeDfIMXf4JRjLtkrTXPmkaMH/iCvL2
b7FkzrteiqFcDfjjorWbFBZSKdilNzHiQjQAuzibj3CpmLfoqUr9lUZtPoI6dSNzOzLQLVdyjDBm
oD0NPKrlycFHOyHh3fIJIAWWJhl2MQF4MrwpCIk9yafFB9Oqmp4UAN/BcmXz7FcbSPppCMgH2khp
Ig6HXLNaSt5OjHwJVCe3kLfBmTdjwyCUIATF5wmodqrViHdJJx0B9ZHHgtak7DoVh11FQdQov3nW
EYk1G+LLcMIhH5qmFQH1/bimSU8Pw6SN+Vw29MzrjpADpLAlEcuI88r0NW1MaD2T28NXRNo2b1Ft
3zK+VCk+QQAG4NWqlCUhSm3R0VWZLjnQovwOmrn9MedqJO7TJFqZaK0hQR9aBmVc5FGwyYfGwikA
Aeon/n0Mr45pqg8fmx8cvNKO7pfcqu4BdCXODgkZAfFoTiEStd4Ankhx7dPEeWF5XOwFrO0iguR9
oFaQ63GYgq85zNTb1CO6ATHrXQqkYcjBfT7DFZw/TQsAjG/VYLG/uHLEchpaAiKCPZNtlcMBntfK
q6MP1ZQkYWHrDDKeK99/cAIH4Wvl99kVqwYIeW9O4EP0ijCtbR2FXbmplrH1QSz5KNth+8ExS90g
+dS1TL69hWjDlee7eAvHYcmBFessiFv0zSibnakgy8Fq9NXgy2Gu8t7XZlz0S7kbgqBMnkZAvnoV
ZJ2drmGwBR0Ih8H5TqOCsRiwQjTzNxxyctOu0buheewe0eObPM2WYV99TzavqTMi5x68yJn5Ylm4
qhrZ2PXaq9I6X0NhkvaaJwX9ZF2b7dmBGH8hn9qvN6lpqGBlZIZ1B+XS/J0vEHNXzdK27RtotUh/
Uol72NVF1sutLux0OhK42tRnw8sjUhjyVDVnK6s8cWncVM9nafb12wIPI3lBCNmIn2NPcfxkN2Ux
bvmEwuDaBByde1fUebgtzXLyjz2G7pEE7qIlX8EkPvJUjrZN5lcuvOHYVpE3rdnOzD3KF5vfb6Vy
X1oHLh3iPVowvf42b4JE7BqjEL8zR0wmKnPwWmsTQkaxDVQ0dHEHJYp1EZEV0ddglRYGfO5HQ5J+
EDTpFcO/7R6BkPIDkcDHvcFqUC6HSMCXuyQBO4S32xfB+Z26oyYMw6ha4vdWZj2Z+ooH20NQqLI8
eypnkNBHbgAXj7CLlyQnOSIkbp4YNoSKI8pMLrd+ZXotmrK9rthE4Dafwqz9FgOzgMfFc5VzSrWa
+eRB7XNyws3OctLloaDG8LZI3nQt6YjtZMNWjc3Rr9q1HB1+KdS9iumBK8GQ3HWircvT1OCw4YgE
e3mdsEC4Mb8tBzHFCgLrxq7qKB6HpKS2xYbx6uaRtrcY7+flJR+kbI6yJktsYzI/ZKCZyHxAMRoM
9pOm+7DdFRZEOzyjRh+draIKhBfqRkX7AFyR7e+YA/7f1GEqQCDwzhF2Scv0LJ1AP9yU70+OsPyC
wayLN7YqOv+nb0GI48D2GNUaqlBVPKMmeF8cdMCk9Soe1T5o5xWFPM5OnkC7hEBSj9baSHzsG2S/
GpeMWbABt2nAXDDDY+jR4STTa2JYfYSwn9Zvkwsl75XRZPcJY0ySUKoqeytgSRS8rG5/a356iS20
xjXjnyjh/XGFzOlFGsRX7kJKMwIg1d4tHeYaRKX0y7ET1DcKauIR6jAaOnqYAdtGh9KwsI0oW5pA
wcZhXg2kwQLOClyFMj/hkMZVCn8EW4HEGd9l5S8XlwKhm2XZ/MpwuzxIcZtFjgpn8boaF8SMxPIV
L0lp+zVRV031ptpsaLatyqqnyvBSB5+AST6ciqS6WMGMRdgeKlWgQ1o697aygXIeZHZRxUE/5L9R
uUDmyjDgT5R0BMzFCEyV/eGpmtwYc5bNfSTKpCIbIx30OnODIItNCsIfNLu6WFVzYT8FupzybZ4U
KZS2SOZq4w529xU6YI9XY7DobuVUjfzQZu4VKw6V5eQjh353aXzKVV7MEgP+rNp33FTGC2ReYsT8
xbGnlSD199do9c6jYzf6F1FuyU9GINGT55TOu9PI1I2nRBrfTj8NF4Ya6qsfOcZXBLfUJH/DhPw5
O2P0MzJUChsNpuM7as/li5Cd/OiqzKo5fsPuV7To6id7n2SK3dku8XqwOyzjzEs7csUNMk/sUEfT
zpy94CWVM9ETarAgk+quMoxNnlaYtpC4g11l37LYmyQMB7JHhBMYuzIbsud0qoiN1rLyvrreI8Ea
6zWWBaJEkOkbDhhCQI2NOe0wFeTBmtVWeg+o1p/2bpQSfpMYwQ1wZ8rcPwO7ZVHLlB/QGfcVFrxB
esRjsoNU48dkzgo0MrFw5IWmsz9ZJIvaAR+imEPC/7Iuqx8E0GB75c5IpuNeCNuOlY2Ua+0uAfZo
n+RDEoiygOrHLwf7M5q4FKTDPnEdBB2pJott3iJ1cw/0j03G7EfjBXpaO2nHW1CyctrCtKrLDdkA
uR3XkrjhzFX8p0OWNO5zoIof+HklKZQUG3tXisnmARHTCefT9IpFOoK/a6n6IVd+mGwDO0MhwGnq
95jEO5MeL1ryaFUBvpzjZPS9fGV4VkLuHbstb7MMRf1I1r0JtNZPwmuRgzaNJ98AXFLogPhKcIv+
ZTB4Yw5eIGsm19KJ0H5bWfCuZXKbKZqGV983i2nD+c0K7wBGCiR/oQ2i6VVAlvXKoeO6+YB67oVu
SV215dozHmyfQNN1kEzdETw2TOdsgsBrhNHsrhwbnxu+Aku+J7IJwObnQZRveEjJFx0i7t01HnqK
IIFR8RSpLCDmmsEiHiMz0SrOEDV+9u6YTdsRluYCmIQ4dp74Mv89e82IqWDI5NXRZvDpGpYiG9IM
xLT2UTW8LYTM1bFZemaPNTtNHbqAvL93RCbfJjuB/IePynwqcs5jroyZo8rsB9ChQPHJA4XQ29wy
MlvvJdFJ0KxtJ/PObVjm11Iwqorx9sjHJZBUv7XR6JMeBf8g1GhkhNt9n7xCPIzstV+5UpMK6kYo
aBOdXubGtj90qlnhI6kZn3rTgVRchVGGXUCM+H7gQ7o/Wth9H+Tei2iVByPCdmbnfhnDfkKvL/Dm
4YNzJgYp9hgBGg59gjR/ZpZTuyj7TSwqJVBaOja343ZcBuHVGwDG8ldZCuVsyX2w623FBxRtXb9s
QSWAJ1GgHoLikea4+ZnjKmVsX1lEx8+133X7KFBAI3yS5du4HqApQG1o1byd55IVhd/N9iMWFEn7
MOsBmC3Bfwd+rf5b2U7zSs5w8TBXGeavpQ+q32ZpLl9hF5AqqAbX1WsnCfxuXWc18EwG0DyNNtIU
rnHtyk1HEMbVml3nGWsZhwOVRuqukU56z+0cUoP0GQFrOY6Xqzl3KaewqIo9vtZC3VlGLtp4qEfj
vs7pYldeaqWHWUWh3OezT9+J+YtiUifCxL0S5tZROMgjoSC5t69G2PuXKdHBj7BunCC24U78Hs1s
egLSEr3WAzYjVjXdeCLHuFYrH4LhZcBf+8nQwu5WtMLLixdU4lJBMsf8krrzkxXWN8asIHI6n5r6
Soj7WG2kasSvJemWR8yG6HbJQ5pfUdr2ThzZ+fik9DB92EU06XVIvXIIF9GGR+6+OQTzS4JwfGsX
kccaFRcWrEoOoaXPO8yApQCQYJdR9ZwtedbsJUY3noAaASpA8gg/hZ2mI8njQAfeBKDmR+lKoJ/4
zKDDzEiHZu4YW4g49FuytN3RNhUsGdcnYJOHRPLNzPRWtUn0gSEan2KRzE6/10kandkQ1smXUnXr
bxe3vo0HQlU+IlFGtZJ3KVQf5nSwiNveJLwkbJg8b9C5RN6AXICdRzRDZiAJGVtEp8bSLBDw5BTi
h0YE4heFcDbdGcswtHudgyLZOYbvNU9U0pG5d+o+87eDCF17o4SJkH1RfbIvtDTm12EacuYCEfKn
eDYThp66c6AmWL1ljgca8VqtQWGMz1DkoWjzNXNErAQcrzjiy5Ct1R/4bQJwfAPz9w3LTWos/i4G
/p48l38AvLGHlf4JaiuXKAJcbzjb9Y0CDvDHxDwSqU7uPLK5XrGE8XgQ5R7RuCSgxSmv82fCZsCv
EAWGTKMEqc28xTGLF1+PQbJusm7GtMPJzY0tcmrjGZ4tVB90jx+TY9+s0aSQEJtal+ELrTv+le4P
jnoXJviV+z8o61nkqmLVhLOyt0MWjE3sRYX4RdJnn8XKnQIvZnkhDssfmHcCs7L2hMWF7aGw8KkD
vGGhFWujT95wiN6SAFJWBNwqXOIQv0uV2Srl9LYWB+ZRWft/AOoJDJzy7gfk3qw8/DHz+l9Kw98Q
Vd/Amv9/t8lj1X6mxedf/SZ//sz/DRzBVAKdE3dIAEYJkTtT1z/9Jj6cTghwDIUQ0LAbY275J6bT
+/vNmkKsJpxJrCWwbf7LbkKGFQsa/kbiYG9CIi/8d/wmTHj/dQiLtgRdLfuJ25+xx/qX1ZzE7dv5
RVvFuQ9dJ84BwPzoITPj8fLDds0dj6igi8zsE4Na8M3h0nAbjr994jkBNlvrHm3IiggfFO7jgi2T
c7WBSWWLOXYb0zrlLVXVUNeE/FTabu9sYNNOnGn8TyR7pNeOVugKJ3c0Vlhs+9PMKOI6JMR2LgTk
kMo2u7+ZhRMFUURGerDKAcNwY7xGQZKeQNAWT0AjLMJxSYb5VDIBZz60fn0nOHrfRRLl96nnlU++
BYspoccltbCW5tYWXmnEKBnnIGbuldOH18F4dMxkPupCN+9OYeZ3uIqzh1aCXbB604ONm2rIRoUu
bmEoTZfeFcLOTwXJGPCG7CE61G3WvaacgmejF8wljBJLNcpb8VNCAXhuFoUsloEAuAS7ZbccyaQ/
zGQWs0+3Fn9r9tF3kuHYxC7vHpQknMG+Gbpx+6XLA56TbusYM1cfhx4cLYhI84ux9D5/Pqa7sCN0
UEWk+MkhucGowoKRcIpGiTEtJbW5AMLqRrhEMrjNerNB7Uqjzj8KP8Frx2W9h9D8HmBpvQuKskZ0
VNvnxelltHJr3zkMIjfeOVabNZEL0Y4x9hhn+Zht8lDPP6fQS158c1K3v+8VM/bvIvPFQ5AnBjWV
kRtP2Q09cItMY0wTSbhahs20LiMg3lpVgydPpGRP+E5VRTJB6vIPFlu6dUXkgzHsGJI6x9tRiBu4
dTcmVCHEn6Zw8VqX4Ws2OMO6qLzgGMgsgRPe+0fwU8u2M5WEesBQ8H0BhBrDTjbPrdV7u75MoqPk
IdzoZYgeRab9uHRdiAFGJMt0ZThYqEmxyKedF6h0byVLumNe+VAZRXr1RLagop7TH3nq9juApsWX
lSTe9hYUfVVGgpow0zjrC6GKn8Q7lNfRx0qsolZtmyqEM90YjALlra2vyRhhUvIGRSWLLYB608oo
7IkygxTOJaWkLd0pv7spQm/sbH9fkf/1XtvV+EVgM0ZXXboP9JU0Z2PTR7xjPLhlO+aXQbgsw0kt
ME4UK0TiLn2yK3rdvjhJ3T16UC7auNc56d4lA987amKo6tLo+u/MmOqKWtPvHPvKHSjs+hEV13jB
dX3zwBdz88RCJTrLjrCfCRD9AgzQ4cGsl+R1qsbpt9n37g/VzvKhBCu/dumH3qEIuT/Y2GCgJ3/s
YBpReA9HyaGFqChQqPPVzoR1RaSkZovoCY+hyGjjPm0h1IaD3b6Z+QDkPNLJa+fa4f0UOMZJtub0
W9dGeS3HoN4BfClR6Dn6ZM6WXDfSZCZvcJbsK4pgIiDnEHxMldwzExi2lTE312Saguex6Rh/YaNJ
YIbV9QaM5y/T1ajfKjfRz11N0AljGTJDmh4GOJ59ueanp9+wPJJXdwQM3o69vjd0qT4rqEmrrhlI
eNNdtx7ayXxxu0o/L+Uyy5Xo0/lHLapdnors51y5ULpzd7auTuFPl6ZzQGdYYqTFpx7AYyZNIOEY
gZ8aPwP9JrQ3rZJlyZ6S0bV2I9mt7yWQ3YvZmMGrwpX3yPfK+MEAUK/d1u6/VBvK7ZCPeItxQ762
Q1BeFQVtsCmhGh4ItJtXgmo6dpewH5gAaG8b0r6f68roCCXAEE5eEWsVMlproBcVKNLSsyEJ8J0/
dPjlX1O95Bvl+wzcUwcqAzFu7T4Yibbik80GkuGi/qFn+vzBPrlfRVF56EzH3Q1DRmwoqLjg0HF+
sYksddkSbrdcyA6aaRdcJnhd0IoDOSPtDxvE/3pwjfnU+EWiQcj0PQkAJHquohrXNKTg57DqrZee
3HS0APa8nGmVVeyVi3FXuwux7X47bt1bpENVUlu1LpRKD7rXBtk3iAS0VltHO+PJrUOSl9x8elPN
ZO3BwZlbRmnLGUpKfz8S8LRKccBsKyaXz4U0rDhSdX8t2sGGjiGaOOONu89IZrgHP0nX1abiqNx0
2VcpM+6VMctsw6q+v2fj25zJQHji/+VorasTTQ6SzKLux01z+0hysDAA0TL7l8NtfFyCwfiQaRp9
d02GCccOKu+0uAaUmaIPz05Cxl6iSEyIKvUwTr76zoY+jWsi7p+rWZivi+B8JUHqYZbdwbOA660K
apZLbVX5Jy28tYZvam46qwoOarKHfTRW0d7qRx37ZuifcBn18ZBKsJVAPn5ZVu1dFIynO6v31aZu
7GQ3dI6xWwL3jH2fXQ/Ijbh2u09BwkQcBuQzmkbJSicivYu5V79PA8PG9V5bp1ZBbQrCPLoTRpod
RnOE8kRmFd+KWX6RPZHfhzA0V8XkodnqvXZLg9JsGYm6bznvz696dLO7cLTkc82C9J4yQBxo2tmj
kItFdbASBnQJyKvmrmXefaD/93dpiifDCZbb8gd8kVNwwyUlc3JwwdTVW2Yl9S+voGC63SrugnA8
NLjL/WpL08GCLTGc7UzskxkTZyK3eCCHTWDp6UClBd4upOUG1qdABUbMMWrtkfVCpsteLTq9OuPY
kCLm+rfMnwrGQJ+fwrKD9pz19j61O/GUpn4U92ZUrS2Ym2th4W6xB4d5b8KAz56n/CST+h18Z/Oe
mK2178Jh2pRT7V2VNc9rcqOyy1QP83k2VbFvTSvZ8Pstx8hrzJigFewxIkewTvszkvLBAAF+YTXB
a1lG8srJZnsjsrO8TznPiVNY5qO0vPwAt3J4haNlXqxZ+g8TIL4vYyn8NfAH91GOZJ5MTSDj0V/g
LpVESjGz3IWVSu6cfHohnoJ2KNfuGQEr68o8cutDOyh3a80FhuXe8iY64SgZnxcrdZ4HUJzZykzS
+lQlJJH3zLqgWRjHeZAOa0HDuajA7v0z4zdn79vteJgzuz9p/8MrmvJI0cJcS2MOiu3FLhzm7B7n
lRbliXEAgd21nTByWkpCKmTLosBzreJaq4VLySB9h32fCNszyyTjwKpQbgwqpZ96chWx8aLONjLt
h55ZsGUfnAx79SqAyArQtG+Scx21wSfDKcg5+gaR8Yvwy+sidweZ82PuZkbneFavZHLVUF/S9N7y
+y/TJ8zLiQaqZ+0PP2CplVuztfW32RucAK4H2YV/XwQbdBmPhV0WL5Kd0usEy+eHTgibiht255/8
HvaGa5WdBom6+pn5PFEeVtF8DotbnVJkGaR0BgWz/Nx0rqz9GZYx1VSvqdcma2Sh5WtvW2IzT5gY
wee0IIFaRnWdqllwZx5Z2lge7sawcW8l/7xjWVHaIC9k8r7kpU1sKsT01TDZZs1AXMAYIkvOenHD
pDtYCwugWvSQdaNQnTFoiJNf1tM92RXiM+pn49rrOfmlDNs+pEM+rQNRGuThNLVYQxKxz1HB7oFp
l8hY61J0HQt8YkcKEAZalmX0Ww9C4324AIQaFrv8WSY9zLYayG5jut2lEK27NSYVpbyRVnRGj1mZ
eNrG5Zzb9QDIKJx+oBxN9gsUnp9+QeKWZ8w9a8rC7re5AUYXorW5y6xhXvdJj4ghT/XeHXimmB+n
37Mw7GfHad8ioU5GXTr30fQ8mmJ+mhjM8x3MNpHdnvjmLCf+wzzQOKTFql18eyMRYa1zk0ggJiNW
9JOgLedrmlz2IlrW1cdctpxmLcsyi8XnfSsX55IjGNlWY27sPSiXJKTb5rdN33KfzqF/ram7D37T
WdzQLjlCsnptSMCiwNkCqGUKPTRL9DDYtjgvLDb3DH2cHU9HuWGizqy47cMjo/ThSyFe2kH97V4F
OXnbnP3zNp25RUhfjYy1MObioJBczWudYgux9MxKrNQeidximK+sjZxdz+myClDlbWtWzodumeen
OVBwthyevIvRT913xab35KRDth87wTLOc9gqZi92gsGRTZE/kF6SmMfbXTvU3Y85EhcRlpeKXnHj
CP0ohmJZe3bxOIP2KuYIGU7wpKp07YXiUaXGbz8wnuyBJVYg7lVuEMoCgntFqlvLjD+Y/C1bMYOT
svF/62keeHXHeyjAui+rzjNqAm/UcCqysl3XjN1BIw3+fVP56IxzRzyjCOpOgJJwA49Ffqy9Qu6G
Oukuqc7C3TiJG/vnFjQLHHkX0k4QyVTOqz4cbrg8fZQgne8FY/oDVJFzVtSEVwEe7e7doPWOwoym
k/QIk1rq+sDGpqIUtOS3ZAXFE2l7VNQOi3VNF2rC2qmXGwdm5prmsve5Lu6pe7NrUvxi9zadzXbw
7nsykfHqN51triFxe8+ULaG5huD8OJl5dHSB1GzcRcrHYlAhe8eB1rAF3HYC/mBfrcJvdkm4aBIU
u3nkkJpT8wc5x0695gnQL4FIm3HlBHn2zlsgXyuCpy6OmefOGtbZmGwgU7OzLNNlZ4CWhs67yCcX
aQ1gtBactnkr8UTRuS0LjXFLnEBxVYn9Ddp2hMxausk1Sj3/s1SIOapCdycTlPU2TYL6uuisC7ah
t0CCkkpRaXpz9LI0SbGeonIaaKPK5r5dsiXuHLN6AVHLSjNzc+O7bGDRrGxu3G0zmc5ugmF+8ToW
3sXkUGb5XuoR89W5Jzk2xhlwkL0eAOTu06hGkJT3bA+G1EjWSRfMbBLTMq5p90FyBS0BREFWMk41
rHM6Z8tVY1g/m8i0NmDErZ01p3OxDqOaEUMp5zxfccfk56DzmSWPy7TBrjSaMW768BjkVnDORAhV
0mnLczIZJUooYckDWc3zcxEATx4TmfnxAmjq2kUFz4JYhNxpeAkuXw8j2DBKmB5MZ/I3NcbHfcbE
FAB6fnuNib0jJ8tYb3xLyM00CfbCtPUVLtcqq9dZt/D9n1iqA/bRep1LN8Q+qfR+aBgoKaO0SIpj
RrASzehLJEUDa6BCYiStR2/5zSI227cNrNCkA7FsCo/bX7fVOXN8WFStaTzbcM52ZZoSHCeFc1Kk
Q/GzoCSprMLjWA/i1KlAHkZdLU9ttJSHeXC7XYJ9bEWgAlKEYUm+plrzkXi9XRDpIRvGAVUXFGyE
6OX7wlEx1DMQdhn3AkasPnwiD4YVSFdPT6mlih0CD+dpKNCGFW7YTzHc3+JEh18emtmIdpXXcxbS
KJcsYcZsS4PQHYp0/gaclHPUdXRWQKrpaz1UHo7zXAYZaixhZ6/CrM2LC1Tzewpa+4gyqMBB7BjM
J9D+7CE8o2aCRLVx+qK+UxQ+hygpim+R9NG1FhMHjhtab4ZI0GMt7OridHBZ9HlGFX3PPezQzVBA
WJqNxUhXUiIZqFAPXaC3mA+2oXO0INxE56VyigsBU/rBJ5KYkhZb3LuhXPNQ9ih+MHhTZhEMHDwC
cvcfZaP1U9k2w97LPOuOBwJSPJu1M2Bhb83jSbo65VqcTBYESSJ2qODM5dwlRf/LrMbko3SbmehG
0hqzqTbpzJxxj8bLOpgmTXZIBPkvOJjq0g518YVBtjhWOjUJdpU9Z+IoDiC/GFAt5nwkZNw5wEAt
9mpW8lGj/l3QiCfBfrL1cKdCCkpYfXPz266nZtu1I0Iqd3STPfDuxVoR1cWkBe4zkcA+a6atHZY1
oHSv/GBhWDyZqmufc9vrHoWqoo2dOtY+6OfsztOuc6eNYHwipmJ6mwnRuJqJmyBd9hM2uK1zGuy8
ZlJUaQM1hhO9OYaxbixzjv2BdL6Z0OHDUGTqLrRAXzn+aB5Vmru8Y6zaKWHFo4D5+tA7RhKz5oHY
1uoAzXI/9T3tZj7QWXnlqjVs/iG6GneBsCsAa5Fp/PQWW54NUiadVbCUP9KkaXYLwSMrlG/Wr26Q
4yMcL7X30trawdSj8WObdrZ5pglNm7uyiW2DyaQxLWpHF+temHMGa1Yc1Q5afHvbc+y8hulH/yMV
RgRwtPEffXJNn2lMTbJKKwQUcxDECmb5ZrDT5glcJLRAFMmbxAAYVg7WeO/L4ZvM5Oipwc0rVlZn
JHfqFi21jIn11vaBzf1H3HxR5v1GowbeSDvz134vBTNsFxa3AB4OyTcIkA0QubtKRVucSJk3d4nO
szchspLl+1QcojpHxlPYGhJ7GDChmp7mXkIPdfqEv0XrcqWgBpxYVQ0XVB3J3ZByARa3+eDArveh
Q1n2gih3fEgmR71B/frhzqGy97rrwwcmhSm6WN+fPURAYXuQskW3yyBlii2ThDikY4iFWAne6iNZ
j0iBi/ImT6Jo1nvDpTz1DKsN9o7KWUpRxw9vnYuMY9U7tjdyrugC2SG41IuoE1SvviamZEe1ekuN
vA3LCPS134NQCn/blv1skacxoI1xq3afRYyrTL7am6noK/9tyAW8RKeYZr4wIkOLS8YSP/GPdSJp
EM57ZjGTY/2Rnrhp9XPYdwzFyCQCltiabXINLIZmpT/yN0jZISgLe3dBHSXHatx3S5k6NARt4qzb
mrTUatb6a7FdBgut4TT3lAzGyXVbluyUtUz72oTpY8kyFPH4MOgvpFbhfSt8Xi6c+ubJSWi7mWkm
S7i3HYvlWdemhYz9dEhji7uUelSl5r5dFvJfCT5mECCJ0mViNZZHGebhhmdq+i09pne30oLzPkwN
hCHDVB5H4dPAs4dEVTm5jC2NwQrv/hhljhQB66kTMJxTK9pHOR52KJAE9tHHlWs3bJJXHiV+RVbb
x97QehMUQ/pICcL8xO7RuoxddwsljC4Sc8qRc3d47BZ6QMPT8dyE9T0OCGtTeYYiyNrJ7uTgPKhQ
Xwldb0hvN8uE3pPphll5LSLfitqsTPJz1jvy3JluefKF8QFxmk7RAL/LUa85KaXvJSso2vKrDepp
TZiycfU6qycW2H8Lk3Pp+j/CCLIeRTLhdb1Id4ZNfMsAmHxfzqCgRTh6r10odUJoQlBs8fOLbVCX
ZCfmpBvrUDwNDg26dLgwvRynAW/Tsg/RDZDbEBQfYzeqc9GMwRpHLslxUyQfTENA15RFTj8DDzds
I6IzUPUc6+zGGk4JaFl7FH3HQM3ZZ9Ayim4p1D4tr9Vv8G/Tl0UXPaK5MXmtGHeJDTJ8zoAhIwgk
1v4SRWyzEvwH1sxsrXfq6l7ynbur+HJfhR8Vdxw/+X2E/s2GM+ylybbpa/EEIUZfWtl1Oyw2oLJK
E5AITwsPjp7lr/bmYEEdUqvHeWHOT6HnPywEPIcbpmdYxsqu9fT/cv8QX/+D+4e7+b/bxF5+t+Vn
8TX8/OfQRFxC/Nify1g7+ruDtwZbBjUY/mLrv5axrvV3x7mlFYYBbh8WsviB/tzGkrRo3SRDpNY5
JkvZGyeCarBP/vNvRvR3l9y/P2LLgHTAQPi3MhN5+b/6YbClY0DF78xOn1AHoB/8+V9ckimDYr6O
TIMlub33chkFKafFeDISirqwEOhjyu5/isX6F3vMP16U34phP9UOoJN/flEH3Djyel40CSfAwuxY
ufcXKF+x6ZXV+i+fyeUfNpj/4Iq+cAb03X/+7V+Wzf/Pi93+/C+/oZz5AMBrJAzy6CuTskNbAoZ8
82+/ikW4ZYAFH8AcLIN/fhUPlVyA+y5Z0SBNsSgLsatQn2//+1f5P+ydx3LcaJq1b+WP3qMC3iz+
xcClY2aSmfQbBCWR8N7j6ucBq3paUs1I0fvuiq6iRDINEu477znP+V823A/P8nOuqCxliKE8yxBB
ZU8mRbozJWC40dQF/142c91s7JQaEXUChTp0lh/fUN9Lkd7A1bcNw9I2owmPtO4X4zdv6DO5/a/o
EsE6HcseNiJFknEEyMpPu0Jbt1VkRNKdb/v+8+5y8Xe2c+M4nuNsD0f34Di/iV6r4o/7w9+f8af9
gWitJEg842F39s9b1/dt2z8cfd91/aPDn48u/3Zdx97ylXs88Ip2/MzxyB/3rsv3tu6e73l7vuSn
/d3u7G757pFf3vGjjrPj0fyNzUPy8OuP+CW/v7v3z7sdj2bzcLa3ftvf+c4rP8JLsJ31b/iaP3i2
7WydLc/Lz/KIt5szD39wXR7qlb/Zebbn8YjP7tHe7e7tnefwO57nrdvNWX/M4/d5vPXBnBu+OPJO
eEWX9ek3W2f/6O3XH/X2O9tzTo7L17zr7abkzTu8Ot/b8in4u6O/vlBe24bfvDhvPOqWH92frtvt
dd1MbKj1t93jMbfXp706/PWvd3rMJ+xrv9pJfjpJtdipcBpId8e7g39YN5Z//PyH/55ffbb7me1w
fD36r8dzbfOhHF9f/XvfvtnwoneXzW6z2XibzY194tXvncOWTfVyc/P5Vm9s57Td7h0+VTa569wd
HJvP3tvfOYcD72y//U1EV/rdu1m//90JqWubTO7WXd69e/5yDu2z7b2cHNH+3Wb7TE/+arOt5/7v
nigdDCKICXs6OwQ7xfm8fp47e8NHzoda22d2jy/rnsQGO67f4QeP/sW/rJ85+zD7AV9d+IWdfWJ3
8/lq/d3dbnPiv9sr29LdO3efh82ZT8RZt6PL/uT7u8+dcbvf79ld3AOf1M6/P/vrBo3sLZ8Y25rP
y3f5RA48Flv/+chx5G7PLr/z6z0ICsoPexCmJfi6lDzKlNUQkuTfP24Kql3wPKlEG2TGtqErR0Y6
2pW8CE+Mq4pHYYVZOhGWSMHHLTIcO3mQO7eGBW/YbZfNj8Cj0skZUyGJdrPSa28z43UC1kHMGHoa
ezIgIUuNDgpRpNPVYWIZ3kzLhEcnZoLU2SCek/wumlTKKIxiDqjTg6tSUL5HyMHNLImAulilPZ1V
5GS4WZRQytGtUu1jKce+8PKqybezxArBa3Ra4ew+qBm/W5ncPo50fkZ7WWbuiKmU66iRzM0TWD5p
DRUE0WwXS94pdgcnDf+x0GF9kcG7oO6KbcENbz89Kq2Sl8dIWCjhXqI1tR7pI5dNRYsQGglDjioR
Ljld2xBYTtngHeaIyDCMfFdocGHbLJUYdMfKnD8EYm1gL1cjk2oTEAONt+hBjMIuNFnjyUJtPdOR
Ub+UjUHwDwAGskAQKxgbUREqyxMjSz3iDhllJ+lYUdpdpEiVl6ZmFLksP61vi9iLJG6qEuWqoEAu
t3Elt81WF3Oyap3G0h4lpq8eua+v8KdYgclQV5gHzTfqJrmjIEsSqCIR9Q9dr6SPPKk1iYiHMVvH
FXeiejOaAJloY1TuxnyRpi2rEGYzFZgBVKukas5ZtbK31TRX3wo5rK6tIWcvRl1nX5pCg7xqNObQ
u0Deke4GXUyOs6RmuscSM2wfhryMQh+ReMInY04pzYGTVn8U3TAwhO+skXsJWS1ir4Lmfm3SAZtQ
J6yvoEjL6Aa/lirQL7Eog9vQHPRKgXt6kooyH92lTFVqs0KUHDtmVxa8lqZBCODWmL30/SAzYois
FllexAkV1nmKxZQCFneQAsJTVgZmaptXQ/pElkqLXTRTwsFNSQ7MyXJcC7hVY7COfGDWNUe3b/zZ
XJrCayDOhM7Ibv9O5tw85knI8h6mO3MUuj0xjmZIQ+m2jdLphblFJ9ncOuc3s1ARqtW02vhQERaZ
M9YAzU+qFlryLm0BmDnF2A6PCTGRt0wiHkdNXTx2thl3+YVoQ5PeTwN7CvnmSXiYqHGiU6QcardZ
TOGO1oxFdeXF1E4p4fLCpzKJcmdL62guqzmWZgQRopZlXFumq+B054gUqdFxKO8JjoqcazlAvHBO
nApyfmrPggAAP1LV0vSaBjboNjT79k4q6VuyFaJ3d6IZE5bT6eyMtk1rtM1ND0sr9xIhL0U3mCQl
8puO9gAm7ZUlEsgzqKtbZKu6BmZuPSViLH+VAslcYJbgdW6Lpi9ODaWHcIPqsUATlqcVyxUUuldT
Zdr4Mf6LWyr9CCzQY5nWW3OK5deaaXFKGwk9paepWIqbBsWEo3/oRQQ2gds6kigJiqOeaw8dHCKL
m/CM1qhxMoqHVsSA4Ka1Osdb6mlmsrZmAUCy7Ndc38iZZVVn5OKEiz8Z3WqKkNBxV1I1NRqZjLt7
qmMLia0JX0gc1C99IDEEExluRB59naNGRKwk6w0vI/pi1RWWy0ptiPCWURzck/dS7TbP+SSWCqAt
duRq4W/MUY/cUEkxni2JQXU5BxOkfZ2F/z7ig/+QGeQeGPzp5NvFZbonPKp/m9qeBm8psLodpVR4
sAnwhPfWoMSvYJ7qx8bA0GEr4Sx8q8F0vQkpPjvWKKJyVeEE1oxkrPgrFQvC6lEIhQeRo/EtSgkI
eBopwmOWNmg0rRTkjIWGymTsqsflgzGZEY0aptrSyamHMZnRpH8JOFuRE8JM+hg1ynjf5T2TlWnp
qksE4ehuzBJi1rqa4WuviTidhgHMloMcnWgkzxqz8fUsqrdTTaLAR5saiKJXhVX5lWTqkTPUVvCA
hhXMnpSk5ruaafm1inWE3awNCJbpInHATVxX47bBC9RvOX64dCHQBycmRfI7nQptT7QlmAgNrUUq
Y89RvkvDVHsQGJJrfgcFgfBNpRZ7QxZJPAzwrp6KkG3Edq/7U5iUer0DGTDfm7SVrVuzVDHp5nqC
BmRV+MkwmplUg1aCSjlYVh3mVKmf2wjnHVeOiaKqsmrjydGoCFNsoAEQmUKzDg6whbR6LwyYlLiu
iROlaomg7jQFnoWrkL038RDhM9gs1jClDoVuZeQKphYavk63+KMhyUbljFOmBKe0z4tDxelStOO6
bwJX7uP+jfyd+txK4+qorLDE25qsp28jhUTsJZGEC1DkpTmxmEebZSi1mJqduv0mxEuGRN1MJJWG
pOg50aQVU5mhIjvtWITy8B71+AmdsQ05fmogQblbC0b4lROPJu/EVJw9Ll1kqxDWiGIHCVytcMCL
j9BTiYTf6UG7qBq2IDtl9pU78ZypgTvnnGnoiDRWE6Na9KWLKwS4gSgnQeoHmPkuQmRxpQaSmJMg
imlS3UhSjT4b6hXzcNKxTegjQ2UIkpRPtLag8xbcpZWjeyo4O7yNZWt9CBYtWzc8VHSfmFwyHKMT
GGYlwHzODa3ACMdWg/JfzHLZbUKIZ5m75MhjiNUWnVzBgl+NzTKwvkTqEGVCZKsFbx7yQueAb3V5
22py217CYm186Wa9tZMszG4mS6JOVhak4TqT92UaUlbSA7YXXfLHMakmewqeLBizxEcLhTfZyEX6
1ahyg57bcoke5jDOHwigYjhQK+WOOqOKvth62FCPIphuVkZcH9JFea/k9SPvYGHdmQILWDuTFBqj
QjmIr1S0MNyAtKCLrPXZVaogNjN3lqLgFW/7sPh6IyR7gjtD53QlmGUmc/1I5KiC7OQkRH40m/pW
THqUI3UpiW/RrHCwz9wvzVEeajTTGs1zY6RcMwFDrIY0Dj6JiiQuYr2WxZO3tOx5NjceykswV/VJ
77XgPM0le12br5895LHjgKfnvazM8Z5BQGE6FS4Rkc4f8kL4tfPiJjEb+kx7Mf3WY7oJXUEPylss
irNu6zUBbGcUrbV7lV6e4Te35T+uxLkpZ6sBumXlv9J0pc+V+nfrk7ymdSKPjGcrBu5XK9wHTXqa
/uZJ/iaZrE8CKUth4k92wfhJx8iVWCWBydWHS6DlKbWi7RXijqQjm9j8HczytyvVn56NyUYpGCy5
WNuwmGIZZG+OLktn1lw2a6U/F8vO71Z6K9/lVwu9n2ShQOpI5bOiPLqv92gBrMJ/s376cSP+TTP5
uQ1iCYGAaKtm4r+eQw8JAWmC1eTnQvzC/3iDLP9WBSK0WTHvP7bsN/aHu91uP0b77vobEUeR1nf0
i3es/kS8WQwMBOCl7/xnFqrH69ZZl5d84Z5d57DbIXdsX5EEUDuQTJBZNp5Xo0/4/pbF6tHdrjKK
++xvfP/V3Z3PLHR5M+dLaNtPvDWf9SkrYG+P1PCM7LG3P9fpu83uvLu870L7/bI+6Jf782ts3y/2
l9DesZBHvjpf+OP7O5sI0WTrnK57FJGtc7e9etftB0tmZBP7Hhlmsu3Q3qBHPN2cTk+n/dZ72O23
3653SC3OHXqK43lX1367WdfGrOCv6BC2t9/fOFfUJ/YvFzkIxYJ1/c7/4L+oUzwj4sz2iLB1PDhb
78Qa+/MHH6/89ap8XN3D3fOz616db7/ZQ9YF9K8+kJ8iPWkpIEYi0aCCHe1nts6wbtKXjY9+sAoJ
Hp8IL/awagF3qFW8+l+/gt/JKj93sagw7YOEXcJ9du+RujgMfitEaT+q5X8/DtYz2vdnrM4kf7nu
ducdYobzsd3FNjvRKlugn5zZsKgk/BHxg3/ZyIRIIXz37N+797vL0X0u2Sob+/nwZVVDOILOG3tz
fzus2wfR5cKO6lw9NBOvsr3TW2Lv2bdRHWXbvUPXerXsB++0qjSuvXU9NqS9X7Wd35wzP/F+v/o0
fxLcqF9krstp7OifX9cDi0PbeVvVneufn9p/cnz/4PL23Q7svnVv/++96Bgtnd7y9///j//62rx/
H+H7/PG/Zka6/gd3AXAxDYp3ZI1yof8J8BnKH8xNRFmlfGyN9uk8yV8zI8H4A7D4OslBtteI662S
/T+HRpL0h7QC5flLoL2fyb9/o1yZ+dQPhzvwkZVgqhAz1Jh28Yw/wQ7DyehSawxFt02GOnsj65K5
Y1MXmlvJCtyzVMOKRyqHBG1VEdMPkjg+Wiz79+VgdbepldbPQZ0b52qhSbfKFeFKTja2WfCNTGbp
PIvdBT1HJAdMdVNYZcG2bkhwFYrQ3dHshB1MtVJ8y8bgUke5a/HSFjZG/voJbG/1bJUk991MqYl8
Y5EyMUGr2Tdz1rX3CXTTiRoIoiHjJEV7o+7SDR7fAN/2vCSssFqdAExq2FVEm6ZTasuI2oU/IsN+
7jSLlXhy1uMuXmHLrDEx/6j90OGSG+SbMembu5Ecj0MqNt13qN0fGnHv2KlBBp6TVEs3lNDSByjj
LLtJZtYsUFxCUhDjg8wIkaW4kgdPcmUGN02vh3sDTMJNETb3RPxijxJIPMUljmI177bCssS3CzUS
+4qbz0udZkzw29SrlCY8VUMsH9V4wBcL82A7IUnsZpIqZCm503vE8xXARaXfxzX0TtiQxhLvuRnV
Ajzw5iPLnspdaBj0kDnSrSyDX5hKgTxCy42mZxRDSAf9lKMt9iy+bYEeTtxd0XykZWnxDLNMnHoe
cIsWISYVEEC7OpIuw5zttQQjtyWRaU9uE7NnJWiMgYMXiS7eArbXooJqxUJqOqosJRtcmwHdlBmE
lXCqJpBI5KWpd872IVm6w5KLtWM2mCYsTDy+TFbaVVO9RvTQW7/rqMTUzE5h1cfte2OU8i5K4+LL
QnGpx0oNTxrBFroW5wn+hTpht9NrJTgXlXqR8IjY5LpZbxPUCVvVWQCkXyjvCf0lFaeLAOlrO2K3
cshjk/UH70Pbozl4+Oj0O56hvAg9NKi0lULkt2jw8q7Kt8mQUvxoDqWLrWsks0OkysTYhaYGpiXV
7cSgrUzzBYUo6j7opS55zbXOalVvGPFqayTX5EDH14LQmG9zAFLco6tESxQVnFSIU5zokRQN6JdY
SkvpWEkCVCB7kgulwQ8RFcQLu8scY46JDzqycyrdJnpc7Ebs/UhgaelWDZjEqpqHd5OqcFfF0+83
eRsfwhn7mx4t9UOQ65MrpvO8a6w5fkbuA+k2Qr2+HTRWpW3Dxoow0ZI9j6LW602zvGQwW/xJTYmG
9nOgbKVm1G/6LCMNq0gEQRdsRQdKQ0ClT5j+sknOTjTrpS9ZYMAmDoLqSyFX1oYGT+PIepu8i0bN
ySYqlQhLC0s5WwOuQ/kqoYP7YVRzED2NJftDxBJtHKehpu2x12WHZy+9VMUkTRFzdEXFr7et3li8
/Wrxo5CeXOhbheCycCq8JVG1fTLMOuXNQXc7Bgb+qNC6V8ymvpEBCWBLjaB8QM3o6xdNzNILzMvO
MaBf2ZPZyd80I54fodCthtiorW8Yit4thRKx1ueA0WEZXZmB5xejJfpmYP7w4jhRbkWlV56MEvck
FaK5gm2w0Ma9NJF/tqnWZDsWbaR+RLIk3zcVseFRzhYFCgDAvEkQ2ttoXL1VaicZV1GlxHrI44YT
V1hpj/CQNmWD7OYacpRv5GRKXNp5CUmAALM2lWESHKHaHsiqpuGgXr1tggdNBrifEUWcMbP0bupg
64hLGWFVCmfAJcijsYOpP0rdgBrhcz30MinMGsxDLKMo2pExxq9hENT7qSsm3Q5LfFERXYA0BhPi
A8jfqfdy0FpveREPLPI1pTsiImnXZJ5IxC6ieEv1WHZdIkvZQ/ZSkWUs6S6HkHicWqI1Ei2ni43v
jWW/URhYXXk5qKzVcEsPqeyhP6VH0DDCcywQLd7EGCVPIx5sH7LCsONcBEcPP3nvG2gPdxMYPNxp
k3aI2Ve+lrXebKbZEmuXl6rbRYQemrgqcdudiOuXgC4WOn0NIray8UXUO3OD5wF6FAkEsqcDLDK3
51LpChKWbHmVplRDrbaJAC6upSjgqz724Y3E1RItXDFPBb2JRBfIMp8ojF72Q6aNd8B28EBNq11p
pdw5ZaAgqIerJG5JrYcjNSQmH8M96+RUuO2Io+OPl5XqXbTEEldgNL8EYpMfa4WrtFONoXlMC604
djO93V1axYlDqAVg4hpzfBiyJcamDLiDBtQ2ewrwNDpaJyFJ94KhbRAvYpxHpXg76ERhcRCknino
zYlTT0XqNptcAWkJ3FGRtBR768lifLUYTOi7BvTZW2QgOxdQWk6jDt7QZiwhzi43H4XbCa36hsex
3wCTWN37Rniakkg4YppvHLGqOlAZVlF8Y741Paoc1Jso4qLmJKERvEChCDZ5vhz7Ss+3U05V8ygR
kIZ+Wsp5C3p0UPe1KJ+tVLPcapxeWvzKe+qIlUcQ5Yy8+taUntAwImfkKvy8qnBfCmZ53iKl/QNn
vfpEmNbcVWa43Mo1SnUUzRX41PxB0pNTLVUhsrilHSqNhH/eVJ3fYsbMCuEam8LkglaMez+Lin0O
2jRsuS1puUOks7bvfADKBFNXR4ZLtJ0QQaTnm5A508bQiswFdCoe2xH5sQUr79axqe84hkUysHK0
TcRGp8KDwVwK6ufJpJ4Gd6SmeoUuzWDvxnJP03jrKFIXbKZWSLYx/jc/oL7mSj+iRf5zsJxZV5Zb
6vHmc5VY0VM+VtXJGsbiKiXgIEHdtRspjRI/LySoz/CZsN8G+n5OyuGM0g7/yxxsSdLpoBGMpmf8
hJ9dUu4xKwN8hGlqgqdkJnBk7LM388iL08XXgDoMI7kEkuWRSGaxea2Udynt9HM1rBGgXi5IzI5Z
ORL01HuGE7kS3OFlDZ/aQtzMxty6oyS/93BTXxBEx1OAJVVxiXpFDL6MUgDUfqNCcJeOOTve5OL2
x++ZZ++WUVvvCj57R1K7enELEaeeQdj71Fll7EAOxLqYGh2oF7B+Ul839/BsVXc0w4jW5yXSmaAE
QfQ2ECXe5Ro6dshwjKN+rqCeEoEtS3RmtYwRgOWe+JqY0EmWTJHArSpDs2qRJE9OJ+GLiB7rII/V
XtBmo0dHuuhzCiCdjqf1NjRIAKNJruktvK3JnD7DxO08mgyYVapBvOcGdXwdewIqTdnLDpK95oVx
X3zrRCPYEthdTgUpSUZbMznvNNc9AZi2GxVa7wrzTIlfHbfWsUmX0O/EvLzD5Mzd65Ckmwxgwh5T
c7uNItm6WMM8k2gN1Z1OJr/o1R7fpD7t9Qb6hg7uzZ2UXt/osyLsRZXO7KIHdjUk6ugyTAf0mceh
rQEoo6HNkg51SXJg0O8JUDwJKOVuZa33mRXUIzkQDsoqqEr6fBcoY+3UnFXsqcHfG0TNgpwuzZe2
DkPb6pLIjeNC8HDtp34uVI/LWARuFvKJwiXjM0uYLGTx8E40LvLauo7dWAU4FBqHamgxIctAIbmn
goGUt2dV4f4MTk5CsaJ+4lg5iUa7o/sdzTZqMQBrS8GgnKtao8VfsDVzSh5b2U8qfrpiMgAbSnwh
ofFeoUTrFYxFgo/bOiQDRBC6hkxhTG4lMvkKClRmKR9c9F6HPmdlHxC52dBb37+IbVC+9xIgKgZ4
AmFbQdWdjKAts3+RHB8Cr5836ivTxZIMSpjD8CgMXzFqc5N0SXYpQjz1hAIajwbU+14N45MCgwRG
hLoxBLMkoZb3fG+EyaQaNzE+VGaV0rNMhxWoPjPhpFw8LOQumoZdPtFlqMhza2cZLds1YVOnDbCX
Wz0OeMkin2yw3SQ5OHSZZl6yagp9+uQLTxCSZjcxl93PXWTtYovVVsVVZYOpHH9ClKn7JcqIvncF
Qd5iKp2ho80+mMBeyUbaXXXwoTshM+0eiMmmamCupFF/a+bGI+6X1NEg23ohCGGzzdxQ+pjbHXhu
rptGNtz3y8YUCwliXjYcKiPpPEUR4Hnqt0lbDYTLmmkbMrbp+ninqzcMfxYeyxx9Mf8QTAiq/Sld
ppooWjdsi2bKrtaCRQRIt7gb6cEb7HyCeylI3Ng5amDKu0/V4D8Cyj8woyJg/N8cpP/K3sLyrf1e
RPnzV/5SURTtD0mTjbXPlZpb87Nl5S8MkmL+wUqasmvRpOVOV0UsWP9UUYAn0f+ji6KOW0iRVBXt
639UFPEPPLk6vlU63KgdoNrw31BR6Cr4UUXBlaRDU+L/uJNEykN+ktkauNlpEIb0oNCSGd3SozmP
nqEG/dukLozjusGciJfQOybZgALokFIwpQQb8gMMtoeZfD5r5YZ8gW0UZgJ2s5S795l7rKtOQiID
0GEy264KUfCBnupXcC3TJeQeBUZ0ybWZeVSVHgQrYnSrMPoqwfuCh/aIpmXEG2skCHiUYXmv5J16
4W7YSLxRHKZkK9YDNA4rlyrDZ0Ypjr4Ey0RzZFUgjEBAf4k9PTV6J1UomOngQj7OnwYNBo2YNazV
t2EkgTjBnDbiJ2Hsx7dytXiYmgqjgDAGUbIs7ZvihJMfRwhoAu7io3rCJ7JaRkC1kxxOcdG/VCpr
5q1YzesgNC3xmsg03452IZGQGFYzCqmVKCRkNteFJzfgN30SQ9Y1+nSxRB0VfLZSxrhbAkSsBfqh
rsZusRpgpqo1s+3Sq6Psj8GYukK1umUMcb2BSD9NNJ9+GnW11nSfLptYnnvBkz7dN7RQKoUbVXU2
uqSWU7AdZvgaf7p2ELZw8JSrmQcwHL6e9tPjU692H61T89grNNIkdvnpCBrkqv7oP31CxqdnaPz0
D2mfXqLl01c0rhaj5k+3kRj0vVswD5tdczUkcbXIXsrVpBTi+H3LP51Lw2piqj/9TEQveQXgesVp
q6yWp3qWI8GdeATVAzE9Wce+kVSJBk9N/FCqVP+ghxwalLmaqYoBTcjHzobHqq8hd9tNFlWPlWJN
9L5KYqv5kIZ5gj5r057JZIRGOIPTIDokxsYeoDkNM0SRQPLCsROuhUVoCLr6OD6b1rjMO6gE3IXl
ZgimijoFRujmkHMBy3Whg+uEz2zZT+My1ID4I8DAU6ji7TOkHsuFWFc1U3oMSnY9NvHdYgAhXMLE
MO1Cr6VvpB25OhQW0tBBbnDY2ZYBb4fJtKbdd0bB2ynjxsptA9nmq6KsZjWN5ToBbI4LamdJgmdb
UTM6kluBgD+oEuCeO1kvpIBaYbSAAtX61trGUpNrGxQWELsFusBTp8dS4TA8rhQ70gSs3N+dEm//
lOy/N7+vZ5B/Cfmr7xEtGFopJ0GFrNXPPT5TJnRyuHC4lywqv0kT6b+sZcvZQmPo9q+f67ON7e9P
xmlThjBHpOGn6Qg9DYs6D3BWxzovXAODhuDQat/eNALrozmYS7/TKdxAJJGdKU7kHazabPufC+Kf
eRSOrl+PFPK3pSx+uiJ+/s4/wYD6H3wuhEYkPiBDxHL//VyBmIkq6dLKEtQ+v/XXFVH+QyZsIn/W
CuLPh7T1rwuixcXSFIk7AE1SGUj8W9dDboF+3FsVLtIKNiGNJCXNXaQp+P534zV1jK0aPbpmOZwP
j1HfpsLigZZS5ZdUAZyw7ScsVxIYh6aZGCrQKsCh3guCUL6KQNxIn9e1wGK9AbbBcjSs3bRRR+7U
Zr2L36Q61Pa1RbDxCC4eTrqYdXV11mEbSweOpHq6JU3ahLupkXA9QihowLDB9sKFJXL+Hgb90sll
5JRqNaabsm07F7TKVAZ2j93TcKSybsgOm6IgXLB8wa+bQgF0RonU46dtaRiH3ppFsL99yYNEEUKg
hIofEkt207SQqm+GWI5+Shw6vo/FqBgPbQW49V5LZlFCFiYszVwhl2VoNXCH72HatOhalHkPwYbV
C4iv1iooDEnh/84boeok9QT/qtgn89xEXwZdWU1Efd3thkbr8o2g91iQyqAhVJIEvGOQ9CCRnsF3
RE9KO5JRBEASPTVIKBY8olpQ9kVv9qHbhcm8pcSjH9dKEFVbMKYO1FvjC1Sjse/6Sy5OYfbG/QBo
mynNg+AoVG2h7iIxkJdLsgA46gBYh34AMbTe542B3SRUi0W/A0GRRu81uBmEeQPuqi2zyGUpxblc
cuIF5OEXwI6R5fcyYZ5HrqqsMbaZHhv5rs1ZP3yRxhDBiAvRnzxZWdGFUddpKYnV5ausC1WyfJuH
ehBrzu60qPh0kK11I3E66fKjPqBv2mohEOBsk76NvmBiNj2pD2tnVEPpQDOrSZdDrn/UErjZKGK1
aIQGmXi9yq/tUsvYwnPpq8We2rOFMk0ZLizble5GQ8zKNzTxGNJuggBd47qmImCLz6aHGo0tKm0Z
IcWCfidwQAahLUVZE0jIBgY2XBY+yaFM6jZiGNQXWLm5qk1P7STUeyocROGlBsnYnC2d0PgLhiF9
ptIjCuUbrdSVye1TIdYz8AOj3ILySPXoqxE1Mp0ds9jJI+6qnsA5x5OunLtyVozBEU0hHXAzxgON
gC8UFM7g0MwmKo64yzsqbWDC4t5J8H+ifJlZ76lGFd0LFaTBFDwChJQBnnB7xWStJYg1S18/GSH9
Nv68khabVWt09VziEmGtoMamKBPui0M5KuW9WGRRBtTKsrhqFEbZOhIRWrsJY/S4jgo84IVc/7XU
rUpVqG/lrk3OiV4ibWAbNgLlbeCeIk7WsVc0nrgpIUiaBYoROPXKEIUvxV2CVK6lAHrFOp6WJnKS
bVpVDQb3rMbMIuuTeDuu0cqytKbcw1RLjQy48MKhhqjdmG2aqCfNYOXAwnLqTskotpJD9lLLQH7S
AaQl7jwI4g1LfAOFLxJ9oP8069RqioRXTdUR4unr0OlvVlj3w1ludBH0/GSZA6pSEPtFWHU9M8uR
G+wxm3LFV1nvp87YY8m9SShBI58sYS2bbsN2GpsjYEOo+mg+kvXISJlgM8oQqeJxZARxE3IPRgxa
GgzlsfwMSZcwsaBglAQYbkrJGnRQdZ/tSjUhOk4DgjC9MsOtkUclbsPiDIkJL+IYJMNb+5n9bjoS
3LezElfJbaiRF1dieMvnvKDUw+fuFDyRLfGiOdnM4TATrm+pSigMKdzXWavoT6GpVvVBHIxZ2aLx
4RHW8zl6U8pUaI4gXMT4Rlysgt03lTQdm3CLtDe6zDwF8163wJ7j2U51+HQO2YFkOOSqoBuTPWBa
7vdqVinjbSIZSr+LwqYsLsosFPlpnINFfpXkOUJciMdYotiopwJ2l8T5oJ0BlwXsnQPOZXqPOHc6
LXozjmnLfJ/HIXtZBsgD2SK8ASJPD1a4tFsjmrjvbwvjVqeoKP4KQK+PnqJFAz1pjRAeMeFafPQr
SCzswgtW2I4WHZAPEL/iGBiBwNA2em4BWGebbmBcgbzVamjxtYm45VDrmoX7hfvSr6liMLixE+zY
CEcWkriHeTigdKCbY6YlzRwlTiL2RCtjJVq+5Ih6TCIyq3wg5hFmxzZdZszKCffP4452CLl+mSYN
zipiXFVUd+I8zbDwAFY3EnUrvObeat65VF9hTOvADmqjvBi4dTeqLBzgXt5LqtmMu34GWtG8a0Ok
yM6w8KkTnwFiO4koVIE008fC0cT+iHQlpiNdTfUXRuWi4OrpHC9XHe40+QcCJbG8xZ9uzg90tgAF
U8xcwY/cqfitMVZX85jb62TTw/QK9R9oSoLKmtRVyRQxsCrjykm9DZ4bc8IyKzZVb/gRpDYctkvJ
+qQmPCIKnWdhF2wek04uIkzGi7Y+rB4uEoMtETsElF+rKif0Q7jErVcy9WCPKCQxaXdtrZaWoxp9
Mp7SQKX+Bcdr1PkVlv3ei+vJbDa9nvTPDAkBoEFvzqUTc0XlYiJdJ//N3nksR45safpVxnqPaxAO
NUsAEUGRFJlkMsUGxlTQ2iFfp9fzFP1i8yGrbg8Jxo2Y7N52t9ldVFnRA4D78SN+cSvQ8Ldbe9+q
en1Xl0LpvxuRm9GO7+YkAzbMtOY6t605um7n1i4ehoaxc1D2USQ/KiIc7Kc4ItBe1HO3oraRibmu
1TmJwLpL1bxEobu6yEjQq0tbIG5GJzCXANCBNyfV3ixmRCljSiAr0BF2uHUzpFDSqVR3Av+jT6M1
TY9GNoibtDHKC7MH3eoa+MehHFF+S2BSHCbgtMbFBBJ3+NHMMit9RaIcdwNeQSO7KR22BoyXmX6j
WzTjL2lTSNHKiMwyOURDK/co/VDtmiFtjSAklbIOdaf2mHyhiIuYBoY/GpiMRhtUFAEaHK0ADixN
COXCzXv7RuiQ6JvdbIIzvmKgPBi6NxqDww5TxmEwA9deumuu2+QDrVSkTnb8nAHtLNhTZnSHOwGg
G3oHYrR0qe64/gww0Fh1o8Jvf8n/Gr/TzmUWr6emgsTO/1Quf1cuqhDUGv+6l7fr6v/4P20iq//1
8FzKV3R6YMHrf/t3CaPTngPABDVOp2VmEmL/s4SBTs9JgbQG/Rpmm00p/M+enmb/g1E7pGzkKNbe
nc0f/GdPT4eFTz2kYd0Lbor6yP6Tnh6l7usaBuohJRH+YvhpCuT9fv/7FzUMinnI/7hj4adV5WCE
F87Wc6L0sjuoSzrC0nHpuXlNIlbvBlQh3mVc2bBglqyo/ThdyVUCzRlQL9I1Ip+1ME4VoCseXV1F
A1ragkk0ZTZQooEwpoPd+Vk3KA9dmmksr+XiTgw9xgLHMWyf9QrkeVXOB4wh2+Kzk5b1s8QtJfXw
ijbGXcJo8RLxoyTezbYi3neaGCK/j7roG/B5IAclFIfIN9pBoXWmLt0naSP8cQ3ZffzYwl/CraDG
aJl+vG3M+75L5mfFjsdmZ+IryQw3d+niC+ZYSDlW5G0XZm6i+8oqlnZBo6yA+T+2qe6AsQEwcEM5
0UaHJtNV/UFfFlAnqNflWvpYDR25GjAv+7Zc/XIYfsLk+ToVQLoq0ppir4gKk4gAu0GM5FAHqhDC
G5XJnQ+pqs5t4IxZ/EXPYvGA8YEGiW1WMOMcZyMvdhI8xfVSZObDUuJ04WtapVLWpUap0c0xQbAk
0rA/h/nquhNCZD9koqkeVOZwn6kVVIg5OI58sfQk/7bMEDzxLVTpaZlzyzXaA5aC77kwIFw/YOKZ
ccLdUqSouuD104t70XXhBynD5ec8ZKSAVqY/IziTL542AS7Zy6qDnBJPA1WHbLBz8GPLHr6qmgM/
y0oEEreO2jnyManN6HJstCq9ixgk/shBq9jwQIy+3cEFrF1mM9aIOCDVYh4AAnHkLVAj4DZaMwpn
P8Xd8CXWUQ2hDhjRd0PPM3mfaEuMpPSsNGRu2Ck/yWVOWj+lRYo5JbiBW7ulZ+s17ZoZzvgqXuv5
sGqYNejj0euS4wccyG0ax4WhfQUOSKgXteQlRJALV0M6NgcTUwxL/BohNOHH8EXBH1HsvEcsiSqn
dnCbQWgvBRvodBLVL+TsqpxhUeam+65MVJUJuqT95maSf2I0ZXQIRb8WlVGphEFka/i3zXbEXtRa
CearsaoeE82mV10vBxCG7NGUCRn0WutUkIUS8wtNTTU9oDmWNTT6RD5BaB3iOrokZ15cKGQSl7Vp
GcdkB/Vi+DX2PSJSxdJqn0w6jFXAHMH8VXfogOxSxvWIXiDX91ybuhN6Q12yv7RZl/eVbWAsVPex
fqMANLHRa4uWlrpxWDA4GxcX1kzRIcDoNlzKUc7kGDdPR/yI5n6VkGSI9WA3RvbgwEoKyCLjb7Jz
F+0daYn91DQkajSYzXHmVcvuW9/U7TMjetBS0eBYn9xVm2dHFwHHdzln2LMBL9SQQbfK5FuDmD0z
2SoibZyTynYDl2PAwH4J049aU8urxakIYi+ugCO9y9dga6hZBHkQFrSWaFXB3lgh5y8iaapPTLNb
lmwHzVfJyQtgRmL+SckbIEx4erFNo5TADygW2SRuCCYMwtmMYoy8zoDtCSb7cVQHmsh+wiuUAXpC
51gv2vq7X7RJ/17KYfTk0kzTzfUGefFcbgjOfDGBXmrotOoQ0zTzkM0R0T83MD4LEWb1cmyLfqz1
wV7iJIwccZz4Y2TXISYrtvOUMsPanX4Ba3P2za+yTJ7esfiJvxkXL35VvMyxSrEDbgtm+6WNQjPJ
bFP+hff+Pv3v6Gf1//dNuWx1ZjUqXxYg8+tnzym9JqMDtIRpAH28OWZk5FZSudfiTty5jmwuC2hm
Z55tZd28fLZ1J6mwzDHQZlFL3yguCDNNc3i3KBDuCXk+GaiP5OWZR9u2v3/v15erbLqXmbCwh1pX
GYLYx8fRZ4DvlQg7nF3p2Ml4udL6vC++VdGVHZqlrNTs8CDxGy/0qVB8J7CC58OXLvgIhOi/+3Qk
Xi/XdNssF+36dMoFxF8f9pj33b6xr7q/+vf/cofomybw9jX+Vox58XDUaXGI5j6Ktwe0FzyS9512
iyJnoAWVb+6QE/SuW+8KBw9v/nT6DGgbWPubtdd//2JtW2i9hXpZx2pfn8oAwzbvx9X98+lV1jd1
Yjca2zMAznRQMxaRewZi/rirDsaNHpxzk99wpP6Kny92ibGJn3BVapeEct2P+CLzIpPdp8X7/vE2
9u674Hn0eo+er3/64dYZwsmnW+PMi1dI/ayJdH2FN83uW+Y//jQPz08PhvffXGYTr9EqLXO8TbFf
87/xhN730rv65T88nVlmjQynvtUmcoxQV3HMZBnjQb/qnqrb5sr4Ft4zQKNNUz/Pj+VVcmfcm4+n
1z1zwI1NKHHwVHbK9SU65ucejFZPZoDEv1kyf9adc59seyFtwuNW6gkNsnzWElYjaQ9Uf7zqvKfE
m++wV/0I6fny9LO9uf+2y20iiWGUOR5MLDf735a9elD9bAeA9Ta5DL38cI6SuW6EE19wS12kyRPJ
eGI1rVTRksYUx6va/moAm3BuT55bahM9MFvNcI5gKcAUe/puwSPcXe9n6GHA61V73Tt7xM/sk7VQ
fnnYIjklFrUP25NDjl8rb3K4gJHuh57t17tyFwWO7/jncoVzoWXLtUsdMNOyY931qsvvqpswsPfS
M/2PQOcCKJ8zUVr1fp17xWcucrEJLhN42axGHNkT7zHMRpDhiTn6VXgmXTgawzTQPWgWmDYD9M3x
S5p0Bl7NMjJgpPiU7+P9uJ+DbN9d6hfhueN37D54udrmNu8yB5XVdYfSu9ppvFAjcLkZhO9eFz7w
tffdfekPh/Yg3rl/ncX/QY/9G+2B0y2nm+f2uYz/499fNZv+/q/+bjbRUUK00VGhugn+x11hYn8j
yITzj5VkJ1RU8kwoXGtH6T+7Tf9QTSSmgGcj4ujQAmKX/rPbpKn47HEpu5aDmR50PfdPuk2b42DQ
1BIriAxpKx1Q2jab1pFXNUUlK69NFQR6gN8nn5tlLkQAOUbcN9nAUBbJJGQb7DyHIXQmkm/SpXV9
k2YcGpTUaSBeNuHHwL5djFIFymN194Ki6RFxFVSERAt1hpaE+ZAhwTAiyTB2Evc7NBI9peuaj6jn
l/WZ8HvkZXBYNdgHvFhdqJtDq+e0BGhKwT1swHrlQy+/jRaqQpwtivs5zG465wkIQPxnQol/vQRH
Z9wEroL53iYmqYWbm02NsqyJzVPlo/tsLAd30JLuzOveXC+/F2IkzK4yqBrRV3kd7IuyTAF1lUxF
0bH5OMypYe9mzQVQm+DCcTj9bY8ttvZKHdCOVE3m5i5D6Av4l4T5ABcP03et6m/H0laCwarGM8nO
Jsdan4sjwTJUnitFdf0pLzJGLRQmDTOey8b34keKb8tHR9rDISvz/CJF2ODTHz+aBWQbiAmzwbW3
8Hq9XCgJUjt4HFmV7QRKbIUIPEOUqfhv/vyTOSv6ilBBxcvHe71UYoGz6yR2MFhDgaxANKUPgY2X
xqWml90fFtfri6TtvAJx7FVOY3scmdZYedSvEur4afn4wnX01bDuAIDtdPoPyYhHPTQUyWfkGNaT
9SLF+r2uucKKNCBdxKJNQtfLUcMC2mbdEcEgb+oTgR2UWvhtmcQfx0pU75whVu7++DPS5Kd7ZnPW
bYEp6attM9gDHSoFkADbdMZhnFNeZw29Mrs7h2w7skMZLbAEAZuQvU2QF2Ps7QG8JVrVywKsb9EP
szU4FygFpcFYRspfmsr/sgY+cvi4OFz0/9YmEeiq14/WjHbEvBA+Q9UJ61JXFj1AEqb6sDhJfmaH
rtFp++2ctRPDO4RZ/ltV4cXhE1ajy2gOERyPkvxWtJhLwnOM96e/1dFVgHWZOj0viwbT6wdSixqg
jEk0wcoAtyOMZK5jJR5vTq9y9LVZqg0t3eYK3nYOOtL81pqxZGlyE9wpLaF8vhAwrKECm47anAmR
x3YFwx4UZoXGPftbC+bFq1PVxWp7HCzYgPJhkMv7omogimNG5NkNjebTD3dsNZfhkgt2T+jQ+F+/
QqS4UsvAZpLCs4muyqQ19sjd4xIwTfX1Mi79mac78smIyNYal+11zfXQv3i6zMaNYlKYtI4DPrre
Eqv6EESVFp7rGBz5aixhMDVjQMfLXB/8xUJTLbRYJpzjaWBgEBSJ2wd2hvkXMIiwffjjt8hLxMCK
TYif8bb3iu7eVMrIKT0LDz2k8VW3+Y6tK5R3rLGwnMnx3fjz6MiNjbY27WUCpLOJU0vlIL0H79pL
hyT0MyUKxErX6npT2YmwhZM9aWNw+jGPvVONtBDlLACgqIi/fqexTIGpK6iL2l2OLCjmPXkB7T8T
+rmK7Ejs5/r+fyttUkCrVnuntXih7uCO8P9Sw3giXiN4NVbM0b0JBah5h9uZda5tcWxlm7iF/ISp
AUzdxBSA104eYx+K+NsiD6iHK/dojDLeMrtmt079EHZIwk+nX+zRRa01wnAyVvWq1y+2LdxRSxyD
UdjI+0zcPPtYzNbH2CrbvWo1xn6Ein1mzU19uF6vfEISbKjR6HFvFaw6Z6m6FAMlzDgavNLgiLoY
fX2awzj9XhVGga2gisSBoraX+jgVZ+LO27Qaea6VSENyjdzINg6oAjaakSOu0NuT9h7G5ezlcRs9
A0/qbxDXDHdd2HQrsvPMJfg2ALEwxRMKI2J1Jd9IjJRSQBKZytJDXtK4S6QWYVaa6u9Pf9C3YdVA
fx8gAUQhg1TCeP1BB7vskwSUIeDXPv4aLfEQ4y7eVRj/2KL5Sh9A/3F6xbcvlBWRPVt1WCAQ2JsV
Y1koMZxr+HUyKZD/hKPwCFMVe+02E8keqiWj4ggWudePmM2diQzHVl8TemIfSAluks3zKpWa0KBd
tYZr5r+2UgOfQfYyHvG+yBPNS8pwWYU80SK+GAGa/Tz99G8jk8F1gtgyQzaqmG0Hx4IDS8ZMvNCn
zID2ZzxntRgPOqCo/R+vBA6DLABX+3ULb56UMkJ3Fzy+vDJ07ZJZE4kdGWonzZ01rNLFp5d7e0oN
9hH06VWCh0fbXGNdqmTpJDtuFoRSfnCXoOmXZvBpQ1SiZVkdomJuvtQjxPh0NsTT6dXfHhZWt4Cg
kYfbGv/3+rPK3kLDo2N1gMLptVZbKo6Ppf7HR3JdhdSU4lN10V55vQonxEmQ/SFZHBUXRLm4haCm
/NWT+pfJ79FHwQ+QU2+j/ahv4noHdZIZLItY41Lfg1oMAUSqKva9p1/ZkZPvsDNo8iF4S5Nncy9D
lDCLsezRlIGRELiNlR5cDRRN69rTleNI5Y+zU/SSqDYdPhDQuO16XaTPVbN+Igivxi4fnPzWjLCa
gsUk7k8/2rG9uE5xdUcX1EfbzLRIE5XSa+b6t8fuUk0bgW6kKAIcA/PLumvVq8aQ5nuzTesvwNzP
zSePxBjuCUoXxq4r+XJz8swcXc9WXa0RV/qD1wDcuxdODt1Knez2UddXw1tTJM2jSMADnnn4t1c0
wU3jJDJgdmhObPYPEKCa35RjeokSxRc+RoI+h85h9HskXTovDrPsQ6RM5n8h4LCwi1zpCiijznl9
OmSSwDcfqAfgc3fwDBzzcnCA8GrYij6c/sBU9Pyxl3XbKuSFABhl9dp+IzV4vVhEbOkdHScvUMSQ
4VJUZp7lIibJPS2LzDPHSZW7BEFZ/QDMwrmu1LJvbhLu83Yv88WODgq+Nb8mYtkXWzpV6VvlUC37
RG+cn+Vcz4iQ80cQbq+L8DKP1opmKGJcwwYVrRBL6yQZOvdb6819koe+rY7ikCzTMMPO77F2VNqy
tncFuU3qdUNs/uqWNGVerSHGeuF0/Bpr1G07AN5h1l6G49GPtBgg06DmMTm7tBkHBWqcyZ9NVXt6
bqwk/46ydQfFwO3UxEszTN/9osMAHgUGaiagLEKhTx8547u4mBL7WrPVqEEDFoWHPRoYy6G1UE7x
cwVZZSDkqh7tWtnWH7R0ht83zG30MAtcmX2Vx/wmJSkgcSjH4nzpUcgJZheiioI0Ve9jwIxwapTm
LmpnwkLUAb/MK2xtYP4LV5bvFqu0bgH1oHoLJwSgg8JdYII5WvSbGKn72StaaWKpHSHNHvfjEAZT
o4Dwd6KqyYNO9PJKlSZqBDZlgoJEdjS+lxRi0p8GvHERFcpxN0bbB1isjTD/N9WpwSOrGl6Me27a
UPoAucABA2YTqqcX5fQ+twfb3Bm9i3WypmAKFYwJIvr+mHYqBF8XOTXYSPJ9nIeK6usgk66TmvSf
/N4goDSF1t82uaHXAUo9Oo4IZq8+ItordZrQdY36mNJ9bitbfhLSQSe565N0CpxwVXYw4lD7ng54
CwTDMI/6zjEnUFVGmcpxB/OlnfawNqAZZViwoiGDiImftDHDT4R1YGjaU4gfJCC9rAuwvATKNmnl
NIP+n7vCg/8hm6CkBQVUuGnNyE/1RfkSVxkAPABgGiJUC4rnkE0iy/DKosLTE67q0u9IXhWIEugI
4UCsZY4/zcWiBLjE973XIDnW7ETeOO+LRsQdUgBK8zWsabx7cdQtt5mAc+fr4Jh7Tx9tEyS+G7qP
hduBkDMGU0T7All2pJph6Fzj7WDMQby4o+pjFdTgOQaBe9XKmrtHuFsDmFFr6r/XS9ygRY/ewdel
sONHdgOvQQVjmSPwMH023TRy8ZnoXN13m0mgk4/4yXRpxIOuBWM0tt3zGBrq+Atkj4HjtmWOipdj
eAB5xTbGOgjRKMoPQ9lp6ucC6/Hnrm7LCAmnOq5vhz5Ssg81ZIDsUJpLt7KeOuqeGFE7Rn5aWLWH
0R41WurKYihBlVthfoXK/DxdDGadGNeDnkQxuFaMc/1lBMf3OVLH5D4ubRe3qcLGJxJGRdZ7fas6
n1AZtrWdGDC19hZLzZcLhY4bSvZLa98Z9mxadzIttcemjk0b+CRk9YvQHPU2aHuIYDeOA8v1cwSq
NNthCh1X97JE5Cjox7D5IVGoMgI1XXLKGMXpjZ8Nu2jGN9wM568SCbqQrmU8r0o2qYV0Wqro7jXe
WN0zphLxeIe+clnchXXu9jcQug1ZE9/DpYZAbFpF+tBbTga/fEFu+zIlAtpeTpyyD02ZJzeTXCYA
s0VWKjejaeUSsSkhsHvoG/UThhRD6LmqC0t+ZoM3VxFgd3mAQC/wEi8lTDsF54Q7acrB3QH1Q0nQ
kQlq/hBVoE71qQIhZVHxBcTsYJbhE2hIvDc6q9Lum7pu7mOrG8ZDCvxa+oatxO8Qy8d9AGo6Bod5
XDTJlwYqZYwZuIU1a4dccr1Dlc02Lrgr3dAb0eob7/oQxshz05uGsXPUxAKQVoiy8rsp7ZV3Mp2t
XyGYfPzskq7u92qGuvOeqdVkvy+hVXTXlsxyC9gq337fu/r4SxRh1l6UxVDYQTaHsuODhHZ6Gala
+h2n5DqB5a2q/RPJVO34SLEVCGDb2qh6Ra/U9jXMwpUsWmMegY7N5H5AmwTUrj4sRuU3LTWBJwd1
igOzHtQE+Q3ZoJGQ60N+7RZuYV+tUG73EiZN8cUG7ExsSJueNEVWbX6YZn2QgXQV+1Op0OmDa8Qj
+WFnqt+4YxnYJoj5XLYhBqSjGeImkuHY+3Pu7PmTFY3RjRXq8Z2r9sVex3L0TsudDMPzom9Gv+xg
nzGUm/Vl31UJ6NuiTwd5axdj116WYk51z+zwKKeTMc8qOlBjPfgQnnoY+GYJLq+GkYboggpXL1hm
orPfIqRTXZINLLM/tdjI+7pZmPMuN4BD3xbqUBQXWs8F6nVx4tg7S8jlCsmFLLuAsDYqQbKAzfC6
UIlwccFtvvJkXvBtWgX78F1VKOB0cU9Ocoj1leEcesfCPbbD3YAfkiFxcokWKPKdpVhPQ8VlNPqc
1xjSlEQC4ZIeh3gY40TaO5FYI7tRLEtItERj3etMFvOlCzjSI2cDUwMBIL/u5jI0AwtVTVDwZkIQ
b5kg3vYlGYZfq43EZdfCD4PbVyw/w1TB7deuc5vqml+H00xU3muci/ZdLKf8rusizLDBztaQBaOG
a2yY1LzecQ8bszfPIbkUNmf1pypV9feFM5NmxErSfRgNgaHnAtEFRxwjwYQziSKj99E4Mn4x/8Cz
F10cLQE6jDEyvpRGHj8UbVcitgN10E+BbKueQEbuvUC8P9sPSo2yPy6QCT41AxI1HPZheieWQcXt
ZhqjX7Gw4+cUZ+iOnWuhjyWKnNFGHjk4rRC6zHQvCO05Yo7q1B+4g9P3i1okuWdJy7qzzdpCfXVY
8cmFWbtfM44ng5LZTZ4QKgI+bURDVwWWbMb7OqUxCXNTTu8QbGKIWtaJJEFxQvN+BK36Lqn17PPY
j/Y3idIACpEofX5h92qRn5hOeTWFJYIYjdk3GW4fOoYdyYKtge9oc2TAMm6q21Fr3VtcBtXao17P
v7Z1MfK+ZNt9h2qpNjsSWptW4WBhkmkvPdeMyo/xpiwffiEb2n4s6778hXaquMJ1KewgZeUSu3Rl
GoSPlED0Pa7mvPbGmkOz19sQAmbaqMMNQk3xJwVyJmExCeGHtZEcrQDteXd+Z2hGgstx0g1BPcfj
CJEsSQvynZK9VedW89gtDvbP2EO0ue92xHuvx6ipu50WOybzgnrR+WPv2oafFRl6SGYRlQ1pWIx/
B1bEQKeVJW0XT4+FDqMK2DrSjJSdQ5j5XcdL95IBYSxyhQEJRgh2xg7/XCjiI2P82me6S9miQLxM
UeZqST0XscTA00WZf1jaBYUqRR30ZTdAbjEuGBm1nzuHyB2UoW0ngaLoubF3tNRYgIm3qhvkAwkD
d8aQPittvDLHsyyRu8WBEk6DsefPVi6G8HaVYj+ru/m8+EJbxK9ozFlnLPCivdUNhW5ymiWrH8Uc
5xAvNIF4WoQv8urnMsVqoCwlf30oDWjkBIgpOdhcfR9lp7nLrmlJOvwoRLjzQpvbVOwTTZLlVE3S
k79ieOxCFmlkC0K4DZ9i4SiNTwqGfcM85KSetrEo1+i2WWYQO3PzIezsePGkAkDcF2Vbr4FkjJa9
7PSyDiYGU+8QgBG42mZxPfq11dqq7whEMrxGW+TKJHAa58pxE+cn+R0nDmsb8nGpuvWjQsWFxRVj
V2jAqH16KrI7D8aSWMiJWnb3KysGV3hKYk+0+iWKW37bYWrjqVm84CCdulflpBndzqkm40OGR8TN
0ufj01yb9Uz0UooLB1eM1i9lw/uzCje9zNJQd/bwiSz9ctAi93qqYn6EFTn6L9gedewvZRbjjYLq
AXIIyGykuIwkFAiR0kexj00HKh86lwCflRT0h1now0DIy5Lax6ALkWKEytLW5zrDBrm0cxjBCn4N
4EKdjn9SAYN6REOu7g/LMMK5zspmtaIwBVss5Jfv0GKJLUgtk4JSgYlLULVYde3jZ4Et8jgqKlsB
/4ovTrv6GQuCHn9biTG61zFhgGqNrRE12NS778YxRYrAjkw2NNzdeTVLqtaf1WO2rHYtC0cuGPl9
m66uyJnCjUMiKcbHcYFHem84EVq4lRurBh9gbh5Sq9chMJUle9OG0CqJeLFlUx1048/WbmI8dlx+
YIkfWsW3rld/Z11l4bHowrsUDPtHdSqpXCoEGSgZbDcFrwupAsWZHL1f/h40Vb9EYIeOQjP+TLGC
4a2ZUyx3XaS61n6MrVz4qWgpdMir4vdpYWDj0bVIFHhom44/1UjwlxQH6bZLzLvU6LJMXVYwFomJ
B7cd7sLFWKAIO5c8Dnmui/nXelK7cISgnuQgc3ak1us5lCM+3EaxOPshmpo50LvZPYN32XR3oEZA
KaO1hKgWTXO6dK87DyYSSbI27IKDJiiPcoRJ+wsVt3Peegh1FaQStZiApjrldeudbnxsoXl/rb4O
Bn6rmZti04Is1cYy6VyX9AvmJt61KClCDHHLaQdj7FdS81960jIXBLNsutmIWpa7DFKw1xbIWYeN
JT+f+UWbfuWbX7TpdlkIhzdtgWZchPgAoRkRRSoznSTdeWpqqA5NL1qKzira5XyeoEyd+VBCUtvp
YwSfYzbbT4rBhj79uzaN9r9+1kpqsVZRF0tfG0gvxqrNBMOtF1jLlwX1sefA1PPxLlungF1lnTPZ
3TRTf69GW5MNQS9V11Za5svV6hFxzUyDoj6npvNNJHABvXAsRttLJnP6FmaVfqZ9e2wbYh2sWSDQ
mJBt26noQHfoYjrklk2p32Nasxoias4ukuqEj5CKeDGqvH5lWGdwJ5vmKo8qaLRrjP9sA/6pu2nz
ORUiUKt/GbSkGdneCpUB95aTON25TZGsqp+rsXuDgkz9sRCtPlwOcYdd4+nP+/bxX/+KzeedLcXM
Eamini2RpqGxO9/MAJuup5ghZDs1mFei+/XBNfNof3rlt/udlQE4mis2lm++Of/dbFbk2uz3nOuT
ajXV7+alrs5MAd5uKFZxDayudQsNq+2UjKUTw20458aoyStT4wJ3Cu3KacbxwTZ0+8xuevtRGXCy
jQBl2ozMt/QvYq/pNqvw4wKs9KvSr5I+WdMfsAlFFEiB1uMpIdeVKfsAVbo/lela9xSCTHSshb5O
cTZRzRE0jAqF44MlIBDCCXOm3iAs4MFx8edfjycV9D5WXMcWbTECHhE4ABA/257rrjMqkQdqPend
mW1y7AOSr2uA5ujC29shQO1maDQhu+qFjd5c5mmkQRkaI5oXtkKN3ma2fXv60Y6uCOlahVoGHmC7
ZTT41Q1VNBZlsTJ+DxEhRwAjtSHbok9634azcwbZcXRBAfaM9QhCxnpSXoTY0XbkgtA8CIQ+Ni1v
jrvlKjXiHnfE0bztYqU/M9o4dvQAETKHB/fLXGVz1aDgiLLawIJLY+McJtFF1ickW0+/x7c3B2EN
PiRoQjIHsUW7oaZqRrOzfjltcN+P5dIYyOlFtrLr8wL6xOnVNoOM3+EUbS02IxPxt4gK9GHzHhwV
W1+LiucEDXm6Y/i1Dkv9zumQAfJIz4an04seiZ5ELg3HX4alhqUar7+cZSkAgRr8JAy3blAYc5ID
DqmhhxDkvslD5zarEvOdqibJt9MLH3naNWTqLLpaqBibezJ00K+XIHmRfRzUzx1c7wVyfJjcsXm0
b+RdBeZ8mjmEZ479ka1qA1E2XFAkrO5uHphebBU7WIOSM/bOF7yMob83vTZctAu9usiIy92fP+jL
BTdnw53DKMUjkzl/VOSqL3IsSxDfzVN3p8k5/I70vrl4sdbzD06vfOSQEMJ1kHnMWvnG66t4cSqR
LMP8N6bTi6kMsBg0/fc9auh/fkgQMARrq7NpCTebD9kym7Blz4dcpZuuIIGjc0lLBh0f0Z8JM0f2
DBCr1XIH+x5ync2pb3JVX0YTnYSK4RhWy4pxmNBWyj3MIfT3NdKUnzPNPQe/ORIFfg/HwVKCAude
fP0azbrsXXfgiCR8qUBtUdIu6bcecDFYzoSAI18Mf27QKLC8mVdvwQtpK4u2X3jAMNdF4Er08MfG
PAdkervKCjlZ0bsrLM7aqlOqAy25pAETh4ZBf5eNWbmz43Q4kx0eWYXcSOP/iZ2rVPDr14YUV00j
2S09Ybfor2ulia5CfI6AdWQVEnvTpgRbmRfbN0ZPcJioKJBHmJmh3LXpoFZB1SoI0Z0+TNs5M+EZ
IAZQAgPCAciP7fMUY9aSu1Mep1oYxRMc/DClxxSaaBjFoIdhQU5YgGJvbrblNYrBzSetIdR7eCEV
aCu0CHt/dzIdKRBzCgmx+aSYMZ1pkpRLOcrkLgNiZQWnf/ax90NtAAoBcC410PrvX8QAYxAiop2/
Souowk+K1Us2nr6eXuRtTEW6eXXpohNNJryFvUMBQuuC+RzdTDO7GmQK5ifKpcQsVsUAIUNIYP5y
eskjz2WTDJLgourKW9zEtqS0QE/l1B6GUVP8xg5mvzhen3l7Rx4MwVjSKJUbGQjO5rIYIRJE9CtA
xrhI31V5bL8rkHoKQtJEkGHROVDl0aeyrJW1g+Q2NILXX6uy9HDIVoCjMqMVoxZYuXZkQX98LwAE
Wyk6lKeIe/8WH32xJzA4SseqoGKKG1tZPCVvo3VsDvrvcPojvY3XJrkgMkTgwVzB0Xn9ODH+PEzS
MKQPjXI5mMjvfc2Vfu7eKTql+H1YDYZGkzNmaHF64SPvEbMuVTVNBN8cdZse0pqmrT9x5/a5Gt47
E4JyXYp/1OlV3uZOIFcEKD4wjKDft3jm0EJxGiYSHFfIEPs4n/AOSYfxgQy/eYeeL/0XDMtaWk/I
i55e+sjGJCUFbk/EQ8VpC+0ZEjVpGnBtXmWJ6POKi/m89K7o9nlFu9OzslE396eXPPZOOWcOxw5t
WnNVg38ZSSAspTEexmBDYqncpiZC6V1dj2cS+7eXLVgp+IKkZvROyL5fr1LVk927Ts/UIXfKA2NV
oBtAF21QMHlemGdOwrEviDYhZS5V4ArTer1abwBgxgmPCh6H+ENqiXX4lCjCN5m+3mDVPt/gt6Uc
mPPMj3/+Om1IICzqaADU1rPz4hDaCYKrkWWiP72YDOYK291Vs2b5p1c5tk9QLCa95/pC8GP99y9W
YWZYw03kUxUWLn5dqShfjQktqzkT+KUr1jnNimObZG06cAno6PiYm02yLF1VdT0AolBU6JhKIWvL
S+JE7c6c8K3GyHodg4qkXCJV4n+3bPYEpz9MTjEeq5ZwGL0WeFHvdSiS5hemNuflrs9Qu1QHo8UO
o6zq7+3kIqE7F2DyzvyWIy95RbpRufGONe6j1y95wXfaqhfwjDOwe3y7DvUw71MdFVWEXYvg9Bf9
fQe8wLutD+7i06CD1+SCIO15vdpUuHFkqR1MOs5GsUsGqd6s3u0HQOLlRehEK/6q6Q4xql8wLBR8
fLxotjWcC3qrP7O/jv8auGckeJbG7b/5Nakl80Fl4omR+QLcCwhK8psiI0wfYUp5ZxaxcqmOA6Oh
vGEImxdcOMPsAEFM1T8D5f71Zl78Fv31m4kBaaegfysPsF60gzOZoxSkn6vnjn1tsVp1U1mtydnm
iavVg9EWrBKtzi6idbufRttk+Iur0dXQadOZ3XXkSJHmWCoR0YHfsY2IwlrUCoYOEFbTaHatsgBh
nYvxzLs7EndZZaW5UmDBYN7s4Ql0ZT7hgs4gR22+hGlkBk2jR8/Qms9dm0cfiCqOlPH/sncmS5Ib
23b9lWtvDhp6OMwkDSIQffZtZU5gWdk4esDRA/+kr9CPaSF4qcsq8l2KbyYzcVRZxYwGjeP4OXuv
zaMZQ9CPp2mJWsiZltPnIHwmCGsmRHVv/k0z8vlioPJYuP/2uXj78V0c0s4qE1MaciYCi7bFOJLB
xN4NLPO/vyH/7MgJHlacI74Lq96Pb1RTdwuMnbwRlM8troIk8Mreu60iad3/V97KYQvK2gfh8afV
PG/GBhEOJ6ka2+oasCmCklTU/aLcHpLH/8KbISBmX4UVzfl5nbFz/DuuSZWI6y3adl2LlwjJS9Cj
Ttn++7f6syuCcoanlIn9jVXkx0NIbJntNqjCKOad/DbVY3Hliv6vbFJ/duOCCfCWvs/ScfppeSiy
3mVGyXVXIJnVVx3sWjRC8fAU0fHaVh1hTf/+a/3ZlUHz0GapwK14zs/5/cPXakGh5y7zQa2EAZuQ
zvpYJwgYchiTf3Gy/vjd2HhRZtOJIbXgD3kBA963rMlRWUDPqHdRqG5LUR/R27l7vY77v/hif/Ju
wuDt6Nph7yBl+afz1VkaXu46R1utuUeZ+9oD0qVkQxNrvglVFP5FUfjH68NdWnXO8qxnyfV+WjFi
/GS2oZVoSDwlXypjRo9jmcPdvz9df/oujBy4jWmO2D8vtBoBa+OseBevkukbWM76Ksqj9C+emH9y
7JZ6hbkRM4HFV/rjsaMrT3CuQL1V9FN/YwCyh4FaJORm5YP7bKow+/rbX4tLEKOKSX8E5/bytX9X
AlpuViM/pW7HeU9FnZsfkOP/pgOY1Zai3WZZYq/lYqj66QyZWhdWxQwMyiotC69lmGt0q+1iXWPg
blc65+wvjuMfzxbrOqJ62g6YuDxjufl+97VUj/x16pkvTpnqLrw5CS/1brCGv726Y6jHlMsUZVnd
f/bgiFwzeuGDAI2sFoAsWXVzRcwDiZ1/Rb/5wxdy0VfRRF1sS3gmfrYUSX2utU5X1cpQU/ySl1q1
Sdvor/r9f/Yu3LSoFXgsUVX8dNhgoNpxmYEcmYiDKFeYp6MLsp/yv9ga/7E859v4iCNoAS48i58X
W0LRSyUIDKLtNVhA5Anlsk7DNKTWZd9VWb9JSFJON7pyqnGXoLbzb8KQHjMMcfX3R308Wsj8Yf7P
AsnF8tN6pU8MMO2lSVh6gwh8a/gsLF3+RYPwT46sjfsEuz3D+GUc/+MFmTA6GN2INzFRWp+SaO7B
5crwV+/U/+cU/QeXyr+PubuBU/S//uf3t9/n3P3zl/6JKbJsMEVc1phlWYbodnJ1/yvojmt+adyC
smLAvMhpfsMUub8g4lmsCTzOXM+l3/ovTJH4BTTn8hDH48ejgU7q38EUUcxwFfx+98YqvAhDeJyx
YjIL/un+IwPaiwvymsG2R/VTxRjotSZK5cHmovEWXK/WHlDWhU9lpbsfMqPvkJvL6NaqwvYkq7H8
8qqCuANyF5qtDpqVtHPbqIlP8BD9BZCFZns1VTOPldTy2QL1I0TpNuvSG+J1OzuI2COPPOPq+PtY
lHJJzUBdvUJWVkabNiTaIdCnUL3ktD9eGmLc/XUPPplKE307zZglCjYQo50QVYoh+WooTcRqmIch
FSvCcbKgSrSpIoGv0XAPJZFBRjPJ049p5XS43Vyh/PVgzc4jzqekQTWqOzqZGp1+ZxG+YKwyuyou
4hQH8hUNEShK3hibrzpRfWpv2UCIVwQWZDdTFgMRb8KwcJHKjuZeIX4m80KPEb7WBYPUKzG06l5H
CzMjER3Nd1/kPurXaomUqMh/CfOZpsHUGs1VS0yDfQ+B1553KtdTHV+7COnya8LaYgBJ3YO7VDcm
qUQvuQkzeDUXyr3kqRC/YTwbcO8Qyw1gsufMHKumtB/LgeyGQCGLjVdu3TZDQIJyh8YUB4S2Jkh5
xI5jFRy3xK/yK70tPDfwZZgFYzHrmzJsJmPVZK79EjsdEXShhVZ/NaR+Nq8dHWxI4BpLUng4kwW4
QlFgkGVuYw0pUZ8mK8+SdREMrVXfdlYudLjO5Fks0oNOPFWllDlvZpZfVVGraJ/UGhkyfqG73+g6
tt3BlEP+Qqp2RyJsHfuHcTJGSXbFFD4TGYTgtdeMlJDQHOwBGuEp8nYewRhJIKRJak5P+OmwDgsn
slclBTBZRc0YPk8SdxBBt4201k5WaY9e28S3Yc2wcD3VsSauZTOW6JIZisZrGqeNt9ZbA1bKlGr2
rvPD6lSQfK5tah3B7aacSftZJ56X3k3CJrHQkCiCTlMpUHFXBjE9q9ZK4vqgDKsMUdqKLA/ayB5O
nk3O8aqj4fg9TbQ52tnW7EEQr3qk/LbM1LjWMx0TTpmM+bNBtPIzCQ3WjRbhFEFYvmzJe4KvLhMn
Dr95opi+kFv4zprCOPc2fhhazroyEt3FflVgunT8tnnkJOXZaqwIz0a7MJEswzwhq7YS8MerBpme
vyZc8TEjz31czV6a3Vt4AVXgmKH/qREcZm77uulvwjZs+RlWTeDHHbGCbhbqyUpHtHoDUHvJ2wDz
f2Pl8fit4MZ1SOzQYXNBO7esQ1mCK0Po2QlnQxd76lYOXTvmDrYnEUxlbPq1Jk3FaiCqBvdDnXRA
G7UChbaIPeOGTELvvSmi8d3K67ANpNtq74ot4zPxiU/6iHRilUosa7Q37ebObOrh1qj1GbaJmSyU
5yxnoOIYWk+PzvdnPBtY1ONgrk2n3JjZECEFL0hED2prnG5Hv/e+GktPUOZjm/pe9AvfaC6XrKTO
lkBEAEaj+jQ63E/YQlqJ1qXLczrwvd6epiGvFdciMeBEuzg1bgg3zy79Os/wyXEuXjU544LKk6I8
qgSOFTHJWWGvSe22y8DoQ+vYs3iOwWgX6U1tEWqysZysf5Q2qUSrdhgaZN1j6EtMjTig9n5sXuph
nL1ks29cRdMAGo4lRy/XWckpXKdpp/DIOaK+KVKtB+5rlfOw0kvuiGKYcGZkoyLGFCx0gvWDOeut
q9nWl92pEEmINk/YLvrcvZVx2GVBqWNbCQbdSj9Ne0o/NFdGJLpnVssFzaabQz0m7pM3ydjbhoNZ
Lf5NxM/rqE8se8fTdBaBbUllkUtt2odm1EeYzX1eIRfFxoPT01PhycqaPlnbGDmtFWqpZFyXRVE5
BJf2zBVBGKhvo61O4Ug/4bKTbH82sqcnR/iIWiJK6JNgNavIBFihfJoehsr01IEMse5qIfxPXKKG
9dyrnLb40mgtjpHuudukSENnS8aS81haysB4q3ehxiELx72mZNutI78yP5VMtCueKy4nAYdot49U
NewdPZTpjsw2hzs5dg0iczInv3ca3fusJy2cqESH8BHXmRutEbIzSOTQExHQEijTENYZqT2Xj6i3
faUnzor4OZL26iTk6RQhO9j0GWKrlc9pvR3mtrpzxnHMg8xTw0PLEvpkzpbi3kmM9qV2ZXxU3YiQ
38Ur5ATZ1JePfl8ROYR+F2ldmpLjs6JpblzKtIjI4Na7+M2z5/CxyiYN3w32q3dLZTXpaAn5DWFq
c9ywbPRvppy0D+WBsPh1D/S3as7r6rO4b+vPz/byrfpvy6++lxULMjvH//Hjj82vP0NBD97atx9+
2BQtXpnbjgN799l0Gb/6Kwxh+T//b//xH5/nV3mYqs///h9vH3kMfRqgYfze/lAYMoCgQv/Pg1bu
4vIfO8CXH5//+Cj/cVXW7eef/P5vhaVFvCO1oYB7zaYTS//vC0uYk6xRtJbO/0L/77fCkt9iIiCg
ibH/WCYEfKLf+JfuL5R/aFjYJC0VIduSv1NYLvvr35eVbEFp/gicoczM/D/sv+u4aCgw3Fc8ROuq
1G7deJ/r3rY0MM95RP9VU0ySfPIXm+Nl3/SHd+U4o1hhDMoc68ctj9Y5irQ793Xsjn4kLvJ+Y5bh
OsNsNc/ffndybn590d/Ht4JL+OnN2HyDjEKhRllPHfaz+Mfs0RbQk2cZKTEhrNX58e8VRqJh96Eq
YM4ndmEyF9HKTOvlUdhFrYetaCkkonNRoVIZ+df+udhwl7qjTU3tEcM3xch8LkySpUYhs5ZyRTuX
Lh6ZijDeRxyba/dc3ow1T8Adkg7KHo/ElHbjnMuhbqmMWi9EXZ4u9VJyLp2MpYoCTNx3B7HUVlYJ
TpJlcym5KJTKr/JciA11PYinRbKs1mYFUQLVTNzcuucSrjiXc+FS2dmlTpHnnws+51z82edCsD8X
hYQqFj6C646wpnqpG4tzCWkoR9+QMpsHws6FG2iZnl9p5lJ4moIuFNsOiRPbDVGo4w4wpmpja8Ij
fF4qJU/4cj1jpVsJ4YKdZk/OkV28c9ITAitJkhdYqv1emlcxczceOol1pVNVkYSZz3fEX39rpEbq
odckmMZyp7CawHLTXLA71lychjQIxAoTXmgDpMCqTERVY2VBOM4TiTCt4YwbumSyJvJ4Wvq0+lg3
Owirsc7jvqfGKg2ja+9mWjU7vddK7RrNm/cxxkMqd4U+td22K3zdxiwjMnmylp3WwSKnbVzZhHV8
KzuRfKqGWC/SbJLK3ZhdX+MYKnK/ZDBReNEKcX1/6fvskAKSjP1DWzlxHfhjjN3TRK6RXrf4PLG/
8FTp1k1Y5ADlo4Lnt6HmpNzl5lypADBFkRy1LPHkZp7tmIb6OCKavVU9ps61YfTR+0BQdbhOWr0K
t1D7KMAiXHYcwslP9ziEwOr5XGIvqrd5RTN2aSxTJeVvoBMmspURHFyVckoeiqwa/F1sDSaMLDFz
zHuhD+vIiJOvfJI4D2FmFO6x6STpL3Q8x27TERB5sJUATUHTrYl2JDG1D1Fpp87WU32HVbhAaMtR
w9MgJxOvs2tqCZTbEft8K+eWxNkqam6UMVRvlME92ofMxWU4R572BjahvWMaI58IJo/efSfvLtpz
8aZxoVH7tWSmrqF6ed8bO4VvMCxVn0YVeBudS0HjXBZO5xKxoDjhV86lo4HdHNTAuaT029Z0dmOT
U3AZS9U5t2l7l51LUTYzbNvALT2p3llskNSsnldqLcHgw/jen2vaKjdvshRB84roOYre/lwAe2o5
F/VSFxPcGbWBQZgqY5dz6VxHk+9sJCpvwN8RKskDlmqaa4lmU3Z7FFrfCJH0bjoySdvtvFToKu7R
nYpz4R6ei3jT7drPbqns5wFN3Rbznv/p+SWbbc2x03tnbgXpjWWaPrLJZpswlOSbjgmqy60F49fd
gIGgao7OG4wMINxjfN52lOctyJhxz64t3PseYW/LNqV3rOkrXvYuM0/tS+e8ofHmmfnxsOxz9GXH
Uyx7n/m8DZJY8ke8cgTBrG1zEmAEutyIdu2ygyIbiM0UE6PhpEKboTfZOBVAtPPWC5cE27BpaFCm
RJqwtdN43qrFy67t/Jj4W6XKZfxewyX7an+sS861xr+Klv/XChpGXxbNov+8oHko30mM40H/+zLm
n7/1zzLGdn6hOgC7jdYblRlP1P9Txjj6L9Q2i46Jljr+j2VM8FsZ4/xCm4XuPpM5mmALs+1fZYxh
/bIYNpb/vEUg5zt/p4yhGWb99JjXURgtD3j4QQKEEEHaP/T15WjlXsYAZl06U3HEXI95Nh2HYetQ
BW5NKefDCJemXuW9SDVSqjT56KJ0vR56ngJhU9sbj/j4XZUmTUCnrNhFcfSJKmK+hhMsjrnXsktz
NeWedJyHtKYR1cPm6YqtHg/9Nz1ywuuyzlWATbhkc99r7yRtD2+QlLZl5dxMXq8fANaWJyUN/3HM
5TeGOOOrg6TmgT5XeGcbbXmFQ9t4saXZvaRTVd9kQoNcG350vlZcmCqvH1viL7fhmJcfeGt7dEde
Ym7RrKlrv/GagGeMdULNarKln0gWI294BbjCC2BDd3LlEL94nXl+vh86N72xxvSePa1RY2Odyy10
bPBOhFpdYeWcV8gvy0AQcslC+kqY0xC0Vv+qGFEp0qRLL6hSzMyiQ1oAo4ZegB4/17qOLMoa5CM5
5D2PId2HKJznR1aAAzjZa9TWMpjHbNoNOqGXfjSl23HMFlsL07WAhDOSeEamnpsyxRAeJ31/AC1Y
bjLwpsjgO5dgBmqOoCkNtS7J/Nx4YQyTxbJaN9x4btFl76kS+B6kXuh7KofaP+BnT67nTmOTb0Wg
SsWx5bq8nOcifmiiNL/uQ2LpCiv19xIrceAoDg9xw1OxrYQotmVBkpRupJW3KyMaBNvBtqPnsmuz
OzrEUgfZ4G7qcEz2COGwR4/0mYbuIk3ejfp7BGTIFCR12Om0d6R8sYfmeTZmGAvhkz3HuzQsdsRx
bhS7Izv68mPUsMRIe6nxqcv8sUuQmklM9plrHWK/OMh6CFxLu8xTfWu049VUyruWOE0RhieVR/tp
Hpsrg5UhMMtmP0Z0utQxRkmzVUbeBI5NVTTdL9xGcpwm7bajM7j0jSoIC1MTFw/kIJLNTRDNpk/E
pal58BIMVnFR7D1YqHFCMVPrUEyQSpLkN5r9i2fFu0GJrdl/70L7VnMYQ7l3HCQAMQb8+pUI4bQM
WKutsbW2btzKqxmNKtfhjqhssl7L7ZBN9iq26jQY+9vGdaNV4Y9bp3N2mLkC0sgLiD/PWTfunRTk
hFBXiB2evNolb2h5DYx1q6yVa908meJrBiwVeRWko+kQVv1OdaWxA09N4K2fPKrKIuEulA8y9S66
bKrXuq2qryy1V7rQbmxMzJnjP7axeIx0HlJDWOqbWKv2BsIpu/qMI2fVz8oJcsAxK5V6GKoL6v9h
0Ik+pRO78nh6NUO5G6yMZqmuv5ImnV26CVwBm5YKpe2z4ccbayjWWa7taRmve9/feplbo04zvyav
i3aRjVjIuW11+cFd+xw5exy8ayX969y+nFPr03aaO6nLx5FagT5sM+Dc164JJI6gqxRvRqalpFGi
tBrG5C5KI2M9hdl1qJuXMM1pHSmk9poUN6ERv48JmXiNO9xYRXc7Os4LTKlnp6f54WfaxZxk97Hi
KquA05pFc6u32YsR2Vyf6WU5NS+09Q/MIjcd6ilSsJNp1bfGdzk07zien7pwTujMpu46z7TvPE/e
tDE6gR3bw3x6UpF6FHE5r3qZvIYFVNoBrXTr0EWcGnHbiRG4oLYd4u6aooUUS6lu4ABkKxUl24Es
oaZ8h8G291Lu77nRgeXcRPAaivJ1LPotXoIL2qnQg79ZIyqyGjc6+cRvDA+DYQEXduPKgk3FBdpB
5jJiuCtXkW/sZ0Yfjdu9wlKa3mAJbU2Qo2b6WIUnnWUQuM7X5LZftIKhy5o+CCJJxl44fUHjukW2
xpaay2Cu21OYfTSsC1QzryTofh8tn82CdsPziGs2OmkFSSUgOeC5rhl1MF/RJLnnrcrXTmXdqrB5
V+ght75bPKPjusGxje2ofBTuuA775vtcZpvSN1LAIupABh6wrmnYWs3Qr7O2X89O/9WZ4jqZ9Sfy
pa+UjpDaiw7jDLocbWPgVYm16vqZ2csQpYekUe567mAQjL4JIaTIwFi4OomrjlrHGbRTeoCPUMFu
8lHukQeQGGG0H24RPox68+GV+NfzBK7c4DdB2atqYxXhoXV3GvOomCZy7biUw2lubidQNtuwaSX8
nINTXCY1Pf6hu5RJ9YF9YOCvk4tR2RzkXF/nlQ+yLYYP0moKCuvQXsVT+RTn1aG1ww1R0hoNfF3j
2ovFtZlzJejlHeJSQBLKfB7zpn3W3Tb+Gqtpwq0qgUT5zX7Q6c5PZU2aUiX9NQQJAA/peMUi827E
2TXkOe2W4nvTRMayK7VPHkyitWtCC2icax7ltEu4V6FerBlmvaj5w6kBhaFU77t7dtsnkFEXYa3u
RWzR3oTjFunFtuiMbu8NFfOH96RSNRdivPIdaCGaFdRh6e0tVS9UMPsasY7cD80r8z81OeuQc73K
2YXXLTDBYWD2MQKywB+fQYtsbDicRrY3Z7mNIqjZLpzK4gDkautYS9AJGJz+ps8EjcniOJjy2i+N
NSQjrPf9KtO+Nc3EXvTacQ5onNcNXga3jYLKbY5mSDoui62Rcf6w6be2DkAOnMZNXBRB62a7yA9B
sURXevFe2OoF//mqwgI5jPKic7NgAPBc+oqluAjKMSNUc3h152w9UlmsDNmvZVJeAQzbRo23N0zs
IL7FpIj2skfGrmWdaBigEkGk6sTbtkJCD/ql7PJvaWYdumaqGBNeVssIT/SvTeKfDNBMANfQFFiM
Mc1tYYRrutYXjvM9Ka0bnV2RGoz9WPJwL43biEvFsr6YGbGwyGOFoZgWSk8bX8xyk3vydSEhJPpz
M3PrNAz32uwasDVcjkzbFJDeqrKnICAGzMKNmBTMtgyEfmSnB0kDkNhLmwc964+pMA8jNDLJzMlH
ArDVOtJNAb7tG2HTMrCJPY/m8pLaki5SJIElVdFy0h94IgVEiAOT842TX3jhbqzij5rkx2u78kC/
+NtJNc7RZMywRaT5DvnxsmA4Clw3VivZuYdoBkfppdfZFG1z3YQ5bmxcEV2GDURDV6yU11SXyBW2
MaeoAxe66iFXXAloxxDe56L+qjWKnbXTuYyPp1xdqYbr35t7I6jr+EEZLghzQ8SMcho/6EXOjTEx
GF7byg56gF0RGfF0EAKVqno1AN4x4h29JGh5xnfQBBs8l4fBI/S1Cvmk8tqNtTeI9htgFJLWUXki
KgEwSHIVKbA/OtHvmc1msrZIOq7HoKmmjZqsy7Icjsaob5p63jIKPVDabegHBr5bbzxxGWdaYFGV
ZGO00TWMswMsJMsIXxiIr42yum/IpDFAIK+idNq19mdofDMtqqRVF4+ggbq1Ca9tnWKFwxJjr8WC
v5P2Jrbvqu6KapYdc3ZyO3sl2r3h9nvLA/oz5dAcu3qbOo1DZSs3hIdSSZh7rRZBnj61Ybmy6/LC
IlN3I7IpsBIBWTQ+pJPoA7Lm5r07POTtt2raVfqtmJ76KdyjFALRqLZ9lD1pjdi03bS2NJpqPfOR
xLRwc90YnQ85W//ErrEvSVpgmLfGzrqLXPZDwwtilN3si6eGhVmKL9OA+5Opg5E7WiCFF0QxSDj+
Mqaktwfm5n3/oES0hFUD0gS8PRMBnI3HBmilTOOtMbsswureqZJ2QyHsSAg/UGf0SyOD8PgtUYeh
0K6czD0K2nqa9Dc+PQlWgizqV9T5qzhlnl6ktAtNC9xVOfCitbYJ0QAAItjiF7QPSIbVckJ3rm/G
u44fNHoaxXzqMyeYUSEcq1Q0QZO96bn3srRBPHCp0BLr+4J1f6iXsbQZmEZ0kyP+fTBUOd1HMAxc
79rxo8vGMJhAFlu3nXbcBYeoyveNUw8HVzp86EwWn3WlvL3Myg2t6FWuksNE1iz77BVgvrumfSJR
JmH29NSiIU0NGKWGzSXQJg+hFQOf4exDTktjK1A8aXa1MXARdsMKgUlzkfpA66x21zBV4vIXPFZb
+cjCcqt0feczgaK/SFvQZvgWmhtTZz0Z4Xc2RtUwLDJHim/f34SOUUG0nR4EzWASL05hmu96yyjW
XWkb6xSV89GgATbr8IesfNyhWF85tCW3c1sHlvSDmEbjeo6Ev2/r51pRzRTmMemzDQHeK0hcmASv
aGyC3KIN3PXyzta8EkozdY2LobheSILm8xxHq87Wrkjk5h72CYAhJg44nA9pNkodGuMMbFv6f5BO
x7VJSyhwErH202Tdsp50yUk4HF99kwBazxTt5Ny/UjK98KLP3mWEa3/vtJcBzt5OTwoCueeDXzl3
KBpOxFWsmqncJP50r2LKh/lOYMoM0zelP3gSIwRnK2Y/PCskKoxY70sfmG3nDHsCErZ1BLuMhzcd
RG9Tl+MBSxwiFjl3n9rYsryU3aYvTRRrzD5LzcA/06fXoYjXzhS+0B48tFT/+kjBGaMnQNjHzLHK
Tt5onTyPapUhzCaatPIoiAhYi65pkV8Que00YmWyiQ1A8TSQhlORJNsaQ6i9YXvhyZMrE3eipz2q
7xl51zYRYsQHORgeg6FPQrWUa/nTFDbgJeeELWTcfoaDuJBpuvVlnO5zJQiLCm2uwEjT24tpVN6B
oHvUdvmoa8UelW4nr8e8q5pb4TejEUDg87RjNehHO80Dyxu3YdxyLXGyKaKpxEGIdmxqxUaJiWIy
1d5dmthjVPO1W9I4wcmN5nQ5G3Ba3Wyb8egOp73FhbSpaias6G13edZxOUchG4Ek8XviNMVCv8eV
ZR3DOud/7xHAEgVQf3dpEwSmAudihW32bZ77/LK2wly9AcmOBoC7UAC37hjdIHAuq2viIGAKKYhR
WqB6MFUbnWhEPK+stWiH/YuCjdVNXyXgFkmXvwYeG58GvGYf7KKLN9koSFOWk2wc5jKocef0szAq
/wunrx80lnTWnpboghVAf9Rguz3JWK82STHYRzupmnVd4rDKYuI9xqLOt1krjItirr9XSuvo91oP
HsbufZmC60M82z9m9lBtHH0k5LBmbUTudaH14nGYGxtaVc4OBm8pJUObfS9Foa1ERN43e/ry5A1L
V8nLvVc9yVIFRswaHrAEea8xemOTzi0/N3pO00TgMLtfdla7xqv8C8Sx/Aiu/iRGl92AY44UENgT
49tmIWulnaThI8opui3P1K2mVO1BWBoICB5+V0zQxVXbxubFnPJoaGDDnYZwFJfYkPpjMamDWbsP
jDnLY1R17r7BV/AoTLZjaep/pKSaJewEY31vD4m+FyGahHke3mlz1Xe6bIetLbXloxfJ2zAXYqOj
Ug0GIuV2QoNgNsBzJNQzXj5TW7eHBjjr21ArXo8e0WYoYA+tm4lXLf0+vIa39rQA2Z4bg9EALjDK
9eUtm0qJ3dA34jIioHTrdXOzR5RgBQ3M5MMwtNTQy3vKMh8foNB110uo6GUKyo3KII5uhSqi2wpw
5V61Zboes/4gau9DNyted9CtgNlYeG2jp7gcrBz0nfSXP4JrPJYVbzuIgevP9/koWT9sSxeys7Cw
kNN8HFcoLaJbPezF7tdvaor4FDIao6Vhj7tG+R+NEyXIACPrRWah+SLjXN8PUccLL8e27DMOSI0v
VOSoXErkThtml7xwXd0MA0gRWTG+i6nt7XgMr1PFxy7dhk00ijyL4kQzqFfnZ8Qzw66qtPumyfli
FleRmvL3xsii9aA4wHqsfejSsgOOKuG8pv+h+x0QvNLLdqUprHUjfa4X9pUvSaHfnS+m8weY9elN
m+VrmcT0ByGj3UmAoDvpa09DyAc/fzgEY2KT5g1fYTlAdsSr2mi62LTpgfBzFgbPYTdO4zDV2ZKi
gAyvs5Cpd5uixGnG5bFuuRSC3uhfNGFbbYTPYcjmWG45H27FwS7hN6wb5rg7u+f0IHR8tWCobc4f
kw75BxaA53KUfMzeh2gp0gIX8eBfDJV8Pn+4NkyGtYbY5Y5bjj3QAhljbam/2VPIatHzJl4mjqy9
xVYijA/ksByZlu3VcvwGYR+Znt4sEFuVhh+IgphJ9hyXYYb3JHrEUVJiYdItPkzKB2Gyh+VXaU+1
Eb1rbuKtQUGyHtresKmXi59B1rBNuOG5nrQPyw+fGo/7yNPrYUt5xt6NruDKNrUnxkJ8McGb6YV9
A8/3A+tgt5LUf0EEyHdfNwj3z2+PPvyYwoZHjMK3xBDPK/RFuDf9/s1ueVEt4cpCqMgtPvYlDOYe
EPMAQ2EtFmynbmftoWi5qYXkq6NKL4LIn4+puXzB88ux5Jw/Vb3gD7siu9KiSe0KxQ11PiBlU+n7
hvnd5vwNy1kPr7F1V5vB64uj3fTZ3QAJNSgW/KJmD+JSOK3YaWNdHNOhZL1QQ3R7vjoHNY/f8XXX
DOUsWI1S9y9kz/sPA1eGhKb066m2o5Qcva7tNgyRJ5DGHmvP+Y6SNSvOr+OJHHB0EzWxXEmEOGz6
tXu2S3QhkgZRbO0r8WAIcLAA0AXr8LKkqZp/kSnfTIxT/S3TNO+2i1/d2qST7hThNu6k9dD50tkD
ea8eWn2AjB4bxhFyrhaQrlJdjGanf/PthKWt2y8t9lZRhEqQ5is71pKdbH33tp5zbd0O6lqY0M/6
LUkQW3IZ7tDOsaPXwNJ1I3sAqr4tzB1aVAQTJKpYz1blHabZ+nRz61R5493QNp8+w46NJsqNaDw/
MKKFJVMRLVEhbAhnfnnSL2t7qPdcIqe2q7QnwO79ahynY5smau8a9GOVVx9lmWU3uMngI/IHvx4+
fdG/dEVU7FzVvEEOvOgWYj27ILurXt1O3giu/VWcp+yfP7Lw1qfJlgzatunH586yP5kuIDaE8W7N
Nxb09RfoM+/oQk6p1A6FBW3WHK5HG+UiIUoH9pvWvtZ72FRu+8Lgmh6tcoB3Z+palT5lYnHbyfZW
VfE7k3YTJL4uyRtv691kuwckhNgvHfqyxvPYlfe1XcwbNi6zr28jUd4WwgPUZpGD5R6cTjzbbnlR
A3u6hYXO0Bytbb/WRnpLMoSnykbtQw3VPmUmtsp5YNGxqWz0GNNTHSXcjdLf1c7/Zu9MliRF2nN9
L9rzGziTs9AmiDkj5zk3WGZlNfPogAP3pN25A93Yecj6z1FLC5lpr01bd1tlVUUAzve9Y9vx9YoX
6ljgsly4Dh67MthliRIvQWX/HlLnqIMI86l4SLWzN+xiF3kUFeC99rvppjCJGiV4JAk9q2n3VZvF
IY6j57lGhmwjT0yYfFBCyp7at845MZghRTWxczm7CN/8Ve1aD64mYDioLCocOj9MJpR83ZC8jM38
NpH3uKVQJWHOZTgmMGObgoltPA4rCOZz5UFlmLl0w9jkiuiiYUmv+p1MW2tLTLJ5NL3IDsekfulU
86bb1NsOy0jmsBEUe78kc4WUT2czcEptAy1Zj+sMqIJYWpRzfdiPdrx182l+VMOHFcmt2/BpqJbz
t4Sjw0EQKXoOiik/Wcjwjg0P0yYyi+m5YNj+GIcoOxFqOmyRdxmnrsjKA5++IPK5FwyVElR/lOOt
aRTFJurGZTdnuXUoF7aGaV7yQ1Db1JpXxj0JpezYTroZR+XtoCMRZhqt84Qu/Ru2pzhb0SqzSXok
vJwUe/Ja0iuxIIpnyFOvo9UOWxD87q52o247Ih9Y/wD7oD2V/0WOLI3YaJzYoYi3PViNm9/49pi/
pX3qn9EBcJGDJNh7HqudahCf1GMVnGNu7IK/keeflGsle1zs9kssPbXV3UhktZZkzNpk+4eDOYhd
51UWKgaiDdGvFvaZyIB8j4aJi+HG1seEe4hJLXdoWi7adkufX/uLY7UL5WgWp4Ko3Ix7ODM/ardF
mOg1ZXzlxg28F9WG5T7uPA7RiAu0MUqfiH3Xa677IYU6nGf/JQuMKJwS6Z4Le7S3FmJ6hCoNzy7m
caxeA6KPjbBmaKKYAW7T6YRcTWJFvCTwNxUvH4b+qQMsiepb5Q72FZLwYJMhfSYBj5rZAUHSZSK9
LUHzUn42MsktdpLAvDKN1mIlF2+NbKdvGGr31NQoZGVfUm4A703koTs5wHqDzw1ZZxYCiIpJ1OyD
OT0s1gzQ4PjZVtj2ePLqKtE7x2uZAOuaGY0eIn2J4iB6wwKSfeZEIfE6MsjjzQsRXByfwU1Pnrx2
BO8RmnuCRxBRMsXrJWi+paWrQ5ym9vvPyKu1wzBcNUG7YsxN/q56jwH3J6Pa9fWapj5PS7z9M7Za
Ir2Si5Q3Tq54V/4JuO49cNLSGJbdegnC2uCVCagN1QP52e875PvX2cDH3kzZMH3HluBszpW4yWMu
9Lb+ydN2XG1vc68nxlemffemp3UkpYzQBLRbB20kzMfc70nopQSB0OS4YsbHAFA8dG0a36DfLj+L
xS64eyrvw3ZbdYusqH8ehZNd0jaKrmevcB/IEi6PFB1427Qd4XYK4S7HoDMTeEXk5AeS0lekOk2h
/ARqsi6xq0Oe8+5MUvpqytF/VkbaXA9uHd11SzqFyQIgHjdpfDsPPjN2w31H3A7VhatQPg78B2Go
5ZrAZcX0heppm3g2brZlLgMAr9Q9QFrjifEHakdIL05ywBF3+EvYY7pNOis7RumiSan2FPt2SbUB
CSJbZwKrWoiDO1C5Et0t1Otcd5WpLl6FU2QjZQt1s1jK+ga+ti9OaRV3kL8KPF8ErBclaDLiaB4x
ezSNGwNK/HYhodDc15B8DwFf/eusUTlvSDxGai5t9Z4WVvlbTXF5cL2aHCg+V/+SD47mNMaV8FDS
/HGMqKQ9pNbivrquAVvbIIT+LnwcKZvRl9atQ5fUrqJR5Deqof6bRg1xomAR1xGeAvVh+T0JQvyZ
3Y3sUnE16CbvVto5PUWBO6T7qnBzYjkQ3vWdwxc0xqCPU1TElySuZcHbe8qq0KGB7+L6I30QZSz0
vst5KsgHdP23xsiaC7rsdtwFqZN9KYKSqFsas/YwY7a/KeUoPgPEc5TviDS/85NEbLMsjp0NovYV
zTW7PN7KpmJk7DVZ8Kax3vbrdN94Zn5ltZJhaOh6DB+qdXhYsJnxlrby4qGqK++64Al2QpN4k5R/
ZrNFbqgtb4Zo8O9yo0GElU3RMzQdqDxj/nVEudk+JvLeCMGBXgoK+uKvgE2bTaofLHGp11UlTHiv
yhtJOH+xreaCOKbUxZR/dOq8QIBpT4wmTuxTTzKlNrAc46+xwyGaA53Z2MJY0PPuHNTaevetBMy5
Gbu4DA1vdLIroDfkiFRaqO1iZXl5aYM0+U6nQH9SAJY9TYNFu4ZByTK+o067CAO4ntxdvEzqLS8h
4zmz83LtpYjYuAbkecC3U3w2jAX7xtTUMOYyEe4FJ5C8sUq93OXtarsoqDWZEeIs3pl3NXDyGLnd
60R7wxRSYcUHz60i/kbe6b9jFsPDJNJul1o+/FTTQ2WyKqniNBGkfOKofUK/e0+fcWtvMFY1oS+b
b3fWZ6a7R1Kn6/v8B2d34iNl8CPgRIrTJKPE65gas/eANSSmjEPPX0473M2LMC9FbIAU+vzaaCGa
XqMS8VhhxnzHDepsU3uM7+e8dM9dLcaD2cb+buyle2Hx8e6poFgOczohMBqS9r4rEudqbH3vw/di
EvTXw6gN1sFSVt0VGcj215Qa/X5ivjiXfNHYwUhtLrajdj/TyR2vSj04v9AMdDA0rr8Qm98slb3t
DeCto0ehy3QKJntItovy+mZTJVkwHXRTVFdxNsfVrjB88dgMw9jvePbGi9co65DYiHnA2j2pt+5Y
m3w+MrkpmImB9J1CZWfCFEd7Z0f2AA0plH5sWAl+uaqbb7ERWh8jAtsjOblUEluWxYAb+eLFditM
rrPKaxtnngi+bC5nGgYedQz85eUDp9rIY1j5/RGD9vzLRcQ1gIh3AeshLwDjSAlFFpoNxhCrZPEi
owwWZUmjKDsQSxbQ2N7MGaayzPVvgW4Z/qexGfk6+ds7BSc5c0Vin7HdNc/9mCSfsYcVLM4i9DkE
1vM6rZxrLE/2L44R74s2rsCnP63ymdqs8oNjbbiL7bG9zKY3vim6z5jZYkuGMTXkmzlQ5X5ahbGb
UswYstOaIQ1u3xhemxpkaRO01sgsrGzUQJ176ueiP4tKVo9WNKkn8ImSvHUoN8LGixx5/JLqR9tw
zQcfCcR7gB9xN5rVeKMqXT6ULv3pvtfNNKYN9Y2VNPFvr56DKx3H+V8exJqCWQ36q0K0uPxYxO6i
tRSnxIKyWqjq7MMndv8w6SG6ESi94g0XwN2mTVtcJpf2HdQLu65SvPUMUe7beIkvQN6ITKwa2UVR
AdSTMQ1jG6ts04jMDodgefdzzwv17EVvc1U7h1a6V1jC7nIJ7BU0dnmEV413SuCa3YxEMB5TpzV3
c8MwXCZL9Ro1nrPtBV1Y5pyOu9YyHuzWau77ZqR1UMTRnhYXttI6uon1zMPfGP1LY3WIj9u0AzyO
3JuiL/x3F3z0dkJK+Fe82PNNUuSZ3tCUzVZQo0K1i+DA/HPDxJPdC38ajrWVB3eAU/2nO7jZoTB7
9ekaQ3uOqNA5TEipDvEQt1uzcKxrKeoYshO9dZcs/CMeZ/BlZzwAYmL/tJRxiroeS0PXUP5iEIN9
NOcJehfvVnfEEwkWRX8IVTNI86/JJE1DjK7jE06jYWc3Wu4I9DwldIhMlTp2wfgiMrDjvu0vdQdk
p4WT3jSQOOdC2d1dMCV2WNLq99Tn7XxmbPFYkoFo/gAlC2f+FYMKoIq0aLjLTQVyStTRQ2emJYxb
HJ/mOZc7B2Z/p2aDtyQnunPbFXW6A/Jr9z15CZs+oR1Qa+pBvFW13ZBXceshwbsgPVbnpreTW8jo
fNfXyXydGIU6wSUtR8evQwp9EjQiHKDjtp8QLwFGwBfHdZ/e+AVIz9qux6EOB1Cx24ZWZxS3WVe5
exxNwU1XesEVdoX00mKPvyTmVJ6GopF7AspKMIl5jk9JRHFGpcVxqMr+urXUcLAJ1pnMbd/qrrgo
uAFKkKxxKB9hIxoNqSYp6aERTJF4VUDl2V3f8iJzF/3U9PVwSaWXce94aycFOh474PyIWRlRSUI+
UlRJ009hJgJWiPrzi2aP3iTMhnekzgHXRGPDfQwyiFaK1gnfpeaAI9Op9SZOeVWUw9CcEi9Qm14Z
046KlPaEzzj6kn4a3CzllH12XdmfRoqeoHYHemlThhz0bp4VAOAlZvHgJ0P87bC0neeEpPd8njjJ
gc6iWxv86cqZLbDwubJeB9nbkMps11UL8KbpxgSYBEvrWgBEGdV3P6gcabLwrSWoKZrGtUYjNzVR
VRpQ3K7lwR9E9xbL9V7xgTehZIILsFh69UMXVG0HSoa47+QbgPM1mwF4VsrWouqGSb7DNPNNRRPJ
6XhSkldi8KFLdaqKBzMHg6wTJJt5nPdMSyQb34DnMCv8QKL2Co4LEQCRep35S/gLliENRd/Pn2aw
6HvP5WBBwc6O6RXwxpppU84r+6TpOzSUYzwplqx9oLsX039MadMMXXO5UwGdTYz926iaQTiC1t/o
pK3v8OPR12jre3qJu30XROneYx7ZAOi1Z9RS/m2cmHJrDQwCFqJRTCnUXjM4ycNi+OeZRJoQjSVy
xKZkHojq7ZIbkyLPnSoLzmZTbCGUjE+zl2pP0sVyY5gT/XFD0F5NqSMYAPmMNeksR8OeM6YN372z
gzNWRRQ5TZk8zq6cfsUBl3UoFRhqmWzZ09ZQbuZT3k8sUDkH8yd2y+kpp0PxkQkEWgtLzYNjsl7+
SGyrli/W7Mf4u8sFY6rMRPuoiLO9jBP+EZpVuFtMDwwXADO9cqRmi0wHtElEnXXDNpsSJ3r/X0F+
P5++//Vf7DVo6b8T5N+ln8O//9t/UuP/+ZH/p8Y3/0EQELpp6BAiyoRHYsg/0yqcNZLCtxCkrzXT
gWv/zVQoEOoTs496n5wngivXH1MIlJN//RfDMv/B72a6wRqSRObj/0yN7zmrge/vBj/aRHyig4iY
/Ym/WQ0Ifw/ZoQbTQKaIGiEu8JWcFgcOcFEllVuN6M1j7FoUNOWT6zyXQTrlpD42c7txc58J0Zgj
77m3HWVtssTwM7xmrVHsDRIQbn16NbzQNHT8jXQeQ3wZUUuKvtGNnD1EgvhtVCxMx3SybMCcXrJF
zbar7i0ZefF2rPIBhzD2foue3cjkOe+y5a8KjPE3OrzlacVMMTwu5VyCGroJ9Z2msT4AuMGIFkAi
T9EfdN1GED3THgeeP3c3C5nfV7NvomnN1i66pnZuStFj1CGXnh/3Tdegam3OnF8sQMF37/vNEErU
qtgHlRE8NZXqlyfioztEGEUs5HFYBgTEFbzHG0ZWZ964feUV52T0BRMvdJ27Ky3Hm6+EKCLKQPsm
el/MhCz8HgszjY5u4v02Fp18jJ7so91kScq8NCaqPERzmeKPT5fudZbEl+1IeW/zDWR544RJ3bvP
NCtWd/ZcD8WRus3FQVLa8MgrLaaHvtedta0Gf+3JJbhahEid898ZaQmPrsYpEkpDMSlEpkGCmY5z
+NUahcprp0fOfyUz/PaRk8QZbVnCpTrDKKBBmml0bwFyMDSkOuq/Cyq4mZXsJNf7GMj0KUkdk/AL
KyYn0sXoTj2Ra4Cwla1r32Ye0GKYNpHgdvFyG4RvauPvOkdCtenLdI62aTVixGjE0r0pmxSoi5ci
gT0C7SC6dAyHcw67ErLjgsfnwZMMpBubSvMhdFHx3XQgiPENKaWZOshIDnjtGj8+opiR98JpqFUO
tP2N9BtL6GQl0Ucwgh5vjSodPjMDe2rYqboYQsOK0kcX/GDmmAUU4ZRuxb1VK4AP2Xm/J2Qy1V6y
+iMDi1tE657XwHBY9n0zLvltaw8lAPySPAOREjsxCpH/WqYK92oDj8IGrd4mnSH5YrLwrX2ZC+t5
ntsh2kc564RmeGdpWZriIvqZOaLOEQUr7Q7qQeE4FkfuA8ShUneLfyIiFiNJIrhEmyENWFJLc4Yd
MEuXTuaklAmQ3ky676Ek5AsdeTWhKKt0zxgo7ZaqV5rTBHCJSkB6Z6HrcE4Q3LGTjLTcUrDuX0ve
M7Vr5+d+8Ig3M0dpPCJ8p7MxrfPVXOnH6tMjPPh2NQYMOzaL8r62Vl1ALE371nHoejwiZ2E9zlOh
8+OIexFlXresWsOiWYnQeIIYXWRb631RRshH26rS2xiphDrkU0ndt2FPSOOdXr5r5uBtobR+B/vp
luuIBNcxHJYuv59wRNTHlgeF84FKSJgfw2S6zLIObqJ0zBesnHR/ehh3x6su7uiKc2rH/vQMy0Fa
IQN9CiqPqqpU1faT1MxzYc2EczcDWZBYMxRcEhO9Kuk8Hq9lNuXUvrhiIOp6mpCFb5CltK/CoJod
52c+ZPsKOT+lrq3LrsHGSsSCC/P3lyRTFiCImAMyyKbYcVjWVPTqyoQxFs0U5xxqaqQ6Q+erYQdj
tSBxo3TJvM+l9vJTAyxYHx0g/WuAl3YBgJz55bUnhxcjnw21m/s8vqYJ1HN3dVeV105aFNmuqpby
uW/SBX0LM8508JhqwUxdmgXnkTwfA+OU2NmiWN6yYrQ/iq4oadVMo+IXCq8JRnoKkKisEptrsEdX
7B3VWu81iZPYjqjdfnGcwefRJTHHpJ/bJrIoqyfxPhdxRIee1T0h6MkesyJN5WbCFUngYB0NKqyM
obzqg5JWq8UEAdu4lT/dU7gtzJAW4OEas2vTvKVGkVzXUmM7zExYr4NyshYxGsqDDy/jhbBbAuJb
CX8ehxkxrK2OPdptH/uJnh7dkYcGK7cTd5gqfUhYAcn5gKOfYs+sBCV5HLTpHFzBZd5YdUd74Fhg
Ud71a9Myxd8b2tDBXqyfEuZYokndUeVk91uBk51a89nWCnR6SK8zmk9I3BkWqwOjbPq3foQ447nw
xccMZEp081r5bMqouPM9IK4tIpEYkfVCJ7RpTWejWiBFCtpdE4yWJc4s96dAGjWrolEWu93b4JXy
Vf/0TMckUEnyVXykzppAqrsYELzbESM1nMdy8IdNnazHthMj8UXvNaNrhraiit6lohx2YYlQ248u
xwdmidp95/4PinOmI3U/ZPFsoiztM97TaQSszfAJCJ5BvoZuK6ruYLUqS8LRWVu0F+UTzdInloZI
G2lj85DNdBijJx4gQB73d1C4Suwab3KK0Kx8kCLUwWhIQLvec0CYfC2p5suqW5jlvRiKmjUp0Wg9
8RlRxOr4zqsNBYPc2XO5UvOcrBJUGbUwg+QiYCCPaElCakNSD52LCP2bQfs5/nQNW+h32rK2cVRC
/K1dJz0aixGijALs5anWMy/OgPAbSZqP0bxwGT0qEdF5vmZG10sU1DkSiyk3vd+Or4if9hPkiVn9
wdFPq3nppMOv7qfrXMpCPQGf04DeCrshqOmnGd2HAUQtOIj2CvAKfkCMLj3qWB3oVE/XenWLdWIC
vXFpXc8cnwZ2gJzlhv4VetkVetIP3uEUsxKRJ+9TVNTtjmJkBiH90+0+x9RchxQwpq+Ldjhr8AjP
w86vRreHY+p4t83JhACi7i0UYhzmeBVsqkLf69l0IKh+eubpN1Utmt6Y/vlANXreBkVUIxd3S3yY
8qev3lX4/TbZT4+9/um0J/oruzODuNvHHif8dsRsM+15XpTe8TfPaIp0Rw4ZqjxBtJwksn4pqqQB
nflaATGHlrmA+pn+NUkM9TYm7L4F9b+QC+5gPinQpCn0SH1ptq3XDjeTKGZiutGmBrxX+/5K8aVV
EHuxeaINvb8vLZDz7ZQp8yFOdF0DmcV1s+2sNmcvcxRHpBC+vm9y08bdD6sgr7yuCfpQyZoYJ8Yz
5ikp8vrLXaBaN7OkA5hCYwLCef/WS090jDXeg4xoI2yYa+OtH4GSy6lriu2MYBDixATK2yJCsPYi
mpwgtIROIOa8BaOjVdP1aadj4xJZkaLcNb3Ku9FDXl3yiQOf10uTnXP+RKyGAcAhIKZVfCwGhy2T
1UyUD8FdyHd1AZfalJxIG8ILzK/Z8C0EsnMXP8LPEOHeIvl5UDPY+S43nMLZ2JmV4yF3imXNVcis
fTKlKH2DUcb+lVSzvphkbpPa1dbiAJlsI3VFOwj7LNw5D/taLrBx1MEDqXpL/svmSPksx3F0Djb1
3ZSUyRUvM0jm4jaJyvy7KjOXqMqEaJYtb7f2GsV66VPVlJFR0I0IVig/lBm0fNX4O1IvOceTBakF
5a+Nc5iGtIigWFwftamleiwMg8lwnCVue8rjNmshSoLgZHSj7naLOXFEJaKVv8e0H8w9SLdLEbff
2u++Vzt/ObmhOsSuQfKVmE7d7Z1hVO01LwB5laJNEgfLH5ce7QWw7wq2kweAasj9NBcTBUverfQx
CSkTzBXihGCHc8qglTjFHLVZd0Hqqf2JsSyQffM7byo0Em5pMXuYJHsgWEtsptt8WQetBuQtlJ0N
9Zwt/rpM+aRmbNx0be/ui4q0/97suPUSp7SRoQ1O3J4t7roOuwY6901dttVZMu4hJCkQeXoFcOB6
fkzcBJAGPFdG0iFs4LTpDiLGZrupa7kqkGhN4GWYtp59P4BUcx3H3ti70VAdHCVM1BNpn+3/F0f4
gyMENsu8/99a+x/q6vvf/0+Vfv4dTPj/P/dPOMEN/uETI7Q2L5CSzL/i4P8nnOB5/wAUwHdtuuiL
BWjDf5j7/X+QGCRIDqKjybNNKqH+BifY5AUwd5EoRG426631PzH3W2Ra/Gc8weZP8VyLuYkdGHzD
+S/tHrIfu2qxRb4tRPxbNll98mhUPunUXumeEb0XASYm0VfBlVMIe1eOluR0JlSlosTuvWqb/t1U
1DlsFTDkZnGS8RRXiXsmSs9G60/EyL4xTmh9ykPpDYTyM4NTM26wpmG7E8fAo0M8HBC0vqSCWb8n
3vqTF8i4k05tv6s0a/Z+rOtT2rXzAWVv9JaRTQ2qF5vuypVAUbhCAS24JO2UJpD/OFXyo/NaeN/M
R8VuF/JQFaIqthIt3mc5WJpM7EpRPx3r7EP2hd4bTL+vqSc0ILJkBOGz2/YTqUELqqp4BKSPLASR
ueXfDJWL8yWQ+VeDHEAA1es3u5Ua9h9wFd8jSvSZzRgF1nImMjKGGsnjByvLTlPt0mTSy/ILL/no
HgkAUF8svuWwk7ry30YxkCeTmuraXjmRMa5kqAe+lcRd0d6eCMODqCrb/TIxeX8vXuzdBC17w24K
GJmwByv1Ogxl/V4ZAD4F7va9NfHqSiBv9x5WLqY/08XbIvXB76M0NIqmP9aZzCEblD56sdVde/UY
7ROB4obAlC75K6/09E2sp/HCuxg/fgfGDmSQhVkXZbe8D9cQEkMdSw99V1nDkveJl5w5aG+h9x8h
FM8TthgbSqlLC0XBMOaDbsKQjiy03bV+NrySpEaiHfVtLW8TymppvmbhRBBRe/jg+FqbyV3Ola7u
XYrsQ0OjTsvgIWM/7+kUmng5Jnm175xXuUShZahPqRukXOU5Usq6t1vrVwcidCic7GHiNXMIet86
aDy6u1mVRYhBNNuRKVahb/YLfgOKEKqE83tEDjBgDGzLQ42YCiyhiK2DD+K7V8nUgenOnOQsBtJC
CJVMES57bV/BjgkMi9hj3Na9rozGPbLkBK98Gfkb2pESG79lnCBb8h3KKrJpCmsBXVG0A1/QU0ju
gBEsO6nL8s3UcY8sNGLH75jT7dqv7jJnjE5NHE/PeMD8g9t19k1cFMEL3RQVmUSxGm+8OhXnwVqM
l6Wa+5vAykBTsvnDK3s8qEGChCQelP3W8ijtm9kRt7bMURlZTdKGtpTqhCiueXeicYeHY5v0pNqG
7LHBzsk8/941xXyFfjJieCrbU1ON061wjOZNVO3TTF/KXS+HUTSkODrKeOpQlMwOep44uyL7wEbK
UdsLDBlgfjdb9jmdno0+ejVypd7rCUUvKRZ6j6sbfb0LaeJ4q2A7RZiYgZXtfzTOP14Ds161vH9E
v6hXdtJws08z+uE3SER7NJkm9rmYoEqQAlzkGKyCcH6hFgjJQ4yXuC0aeFsOjMZ+/6MrX6XNP/Ca
qlepdi+RxHeo7s0Y3XW+MjlxbunfebaK0Fcmqc7RVmlAFyaN9YfZCom7AHeANqH8ornJ/CQ4+5qB
ICynAg+sQ2b5hb3M6PAq5VhvdKHNsBGu8Vdewomkma+eMVH1x14kWyUAYPCeHhcMHucps8dnblPj
Ht/dcMyVLgFAsOQCjwK1aVTGfiVGVHYdM+AGJy606VKUj00mEfRGOWs2oV/jI1qJdN+aEfYtBJzt
ZRkTJpjJ1MfRV/4O63C/ddNRXLpqTG79zPnKKsKKctKlDnJJym/8gO5HkTqdu1VxxxYNYb61+MC4
AtNG3zZeBXZING+IlydlaG/U8qkmcc2D5BzTZM7urNHy90ZkFfs/JpN2Lh7yEp8D6zUmkJ/vviYQ
BPkHFymL17J5PlGzQ1Y6ERsVZCdUCTnxy4OIv2Xn0D2Pbp4jUyyzQHuL4pIcAzeQN7FwhiCMUAJj
QYStO+WL5vfE/1dtqS7hIg8lWnK05kPoAKE/OYBAeehMdcKujkNDa1u8o/HnFlqM5ahQ5T/menae
8zZY+V+y4TCdOc4z6THNeQIHOVarCSRP3CYcbX5H2y3bMzxu8kAqB6Jzosgele/jgzW7mdhOR2Pn
cMYFDo/G0By9VJu8wsMh5zPLoTz8eSJyzabl0CcFa2rzkcxlVfLbENgmXfdh7A98/D9/RUYRrAL1
QBlnDX+YBV38jeaAvxO5vVjmV8G/WSxAQ4gHoKlUbTrPg98bzbZMB/mJXqg64853ns2UJ5UbX6RL
qMuysPc/T4Ju1PSlW4T6dYycKhcJwPOPc8k0EQfFHFNPBPTwb1E6RgdisJvQ6RL+ZzGuui2N7g89
9PpTpGagAmvJceChz9aOP380rqAt+Zwuvw3iRn6iIdiWj2upsuurkGtTPVZlWofeUJvv1AMQDdJY
BpLjybV3SV+V5k7g1QP/Lfn1NBUjGu9MkLLNuKbK7Tsifre+L1B+K5Uj/xGAnKEz2OJiBWgtfAJG
kHrUjc9LOSVjrgjknZdYmFdppDB2UzdRPZTxPV3ZxDKwmQ3Gck3Sz/LoogZuUIk0ZDAakTo2TpJY
G0oY6pCwa/NjaePhPI+2QbbNPJzNxUbQbftjuWmi3L9Hft+NG+j54s1F70AGGyXZwG5mrd88zGMv
fsLq3M2pYQLraoM+68X3T51tpLdDZtbermnt/l2x76Ilx41xpvFlIcJZZ9UR4sAfHgLtJPOhpDnk
qQW3pCgS16jVg9jRk2IHv3171l804wbnYZWsA2K+YzRc7tJxhChXUVaGBZfmtV3QNrhZ5j/oRJgZ
brIkOXR1Fp8injpGqtS0r3rqGq+bkgD1XZMJy91Je4g2RFlGJ1bTxjiS1Z5dBkd0iuskUKf3jr2C
Rp17gNMvcGMHVijcZLi2VCPPcRJHByWSpt86zVCQW1Qg+iZit94ZZp5vEH0Q7JLxnrSyJvhasliZ
3LpdcEYIAMvR5wOuCGI0ErEHv1ZnS3f6lod+eowG0byMRDRTLysmhlhCm8Ms5vjZiqEkkKIjFIfM
PuM8EESIGpn39M3iLkx9i7Ocl8mUd9xz8/U8waxbdSBBp8Gblk0kzKokscCsz2iIzZcBw4Pe8PEQ
0MFxrNlAvFWdAaIgHsf4kKFYJmEKdQ4JKHPQfnsE/F37Yy4xzNn4HRthZddWtWbQkPLHpGs6TM70
19nGM/8ZE7Re2G8e+bHkDgIwfiM3Z/XFsyVf8yLwnrg9vWsiGAGvyFw8kJvt35fYRM6I3OfHQQYz
WkxzbE62TppX4mjki5GMwTfcpycBwwmQ5AixeJXUAAShu0TJF2Q4SyvMD6kETlc0T42dlt0ZLsq4
HmRa0kNnKfUVTVV+mQvLD8fW4KoNqv4i47MNl1mn1wWCKblKpFr7a3Qi49xzmoX20okTHdr+no6z
YC/Rv14D3vq/fat2wilYc3XmimtQabqYsiGfQseUwUNEH8sR7W1wqyEnODOd7GzTZBvSo8L7oNTI
TURTlqQmaN+8a72YTBpE+90xHoBzHe0VNz7+T+Hxw8ibL24Rf478XhduLu8Y5FHPHt4HBz+rG+ze
OWYTUIw+BNLDs57a8QEDcxpS+pVe1ZihkElYxl3ENBAujdRXyjJQElm9vreEKI+zqeWpJCkoC4Y3
vvqOd2hdXNNhBKy8kIK/5ZSn/FwW/pmyOesI5vUljDK+R2PTbyZrLE+6FAQYJ5N/rxFS4qY1HUzh
tmguUSLJNtG13iU+A2HhVsQrl9H0uFBIv8uLaLryfFk+K8sRW6s1hwf0Ni38DOc1IzHQZx1EyxmI
1ryPejle4ExxStfx/2XvzHbjxrIs+itGPTcTnIeHKqBi1miNtqUXIjQkZ17Ol+TfFPq5viJ/rBdD
llOSbbmcNgow0C8NdJYcDDLIy3PP2XvtG4kX9kSNdACJFoJjIPVGehyFZkWFq0Nj8n1GnQnbRnNe
VYG6oJLucU+ziWj0wecNpQMKSxAmpqOSL1XIpptSl/VbS2LuHp18vCurSt9oXiD3LdLoV67dKlRI
nnIU1Vr9+7SxC+mE94IHpJDvSzkirLLrPbuAFZDpeImQ8g7B1oUrf4QYyDmrfNV7a/kuoAfM+9Ve
SlfwQA2jZsOC0AAe8DEvdKMXFWvdZqk+ECQWXadYyLI5ITLRSSfzrFijNgpv4mRScwDdb9lEdLyH
kZ3xSldQ9S0Y5XT3YzNCgGF3DjfJRwc83Ylmv89aYmzotJtnnk5HOtfcwSM1oMDflQbeheKqaGkr
rxeHuYsZZuE0nruHdBxqQY5q8F3dOOZ9VbQTzaLr23WhG2LZq567n+qMxeZe3Jn9qnI1smwHvVDv
Wy/U2zmr8yBWDastSUHIrq9ppiZbolk6FrmMC1QNvM+Q0WLa14Toj7rS0vfHSCiXnaAp0DIoOzOZ
bFAWZrYbgQeM/eOu8ctjGaIc0pnWrdUEp8Ay0v0axJU3GmRT4Fa+HsJOXgViyM7zzon3Q57Dc09j
VDpjVmG8I1KIcPakV63FlI/jzukOMqEOACytMq9sDxU9cpc9w9dqjlsfcpjdRcZJnbYNTnMxiGs/
sQCFMkoI6GIE8SkmMxjqseZisBkUPT2U7uhewPjwr1FZEwOCgg9chVO89djvbfIyPa9TSzvIwwAc
uSeZ9Fku0pwCiPgq0/IIV0kd+MeRM6Jy86Gob6pURaCb0AJ92xuyP40VtIEz0HXBuQj95MIfmu6u
Z/EllROwnTorBkABvCEUgDhjkeQfWC042sgrg+EKSo6VCCyIQokmso4dZ9LfDDIAKuC0dAh6rG57
YH72eSSJXlY84QXz0Nb7alG2hXpHJV1tzBKjWUGZzvbI0iP0AkHfnAa1D3hWar6OLbUKjwALK4ue
me6+5uHvhGK+p7YWg5+06OE2WqW54k7S8KwA0J3x8FQnPf2tdVE1wYmm6no097Xc5DGz2psIV8ge
dbWB8J+WLzN7V5bHKBb7lW1EFSSJJgB95rv3oQiBQg0DuCdHTXlBdlWkHbO1AjbTY/VCg9/aUY5H
TnOGeWLm0UEvDW8NaT1dqqAvEKgVvBkL74DRgs54wmzys6BSS0IXTIvJecXuBEyIXCahUM6EybRP
bXqgW8zuD+gcDciUkXdnwQWL1Gmj6HKmYF2wIroOdgIxaogHd6FHdnCX1eklYdCLUEvUIzVvykXi
KNVRa1aYgSJfh6sA0bBtfHsWltaZrMM9pSiXtJAxBLJse7xdFD08xXe9yhTIFJDUZa8dBSJ8y+aY
2WYCbLHXlrg59vyI4bVvm+9DUa5HlQlKzT6RPN5V7MmrwncOqgKF/sBjucY8wtgoHIYjva7MWWHS
fYhrPNbInis9GdeJpUZAEsQwLiqEG1Xg2cQjOvWx1YhhiVnD3EvNBtKkm5XXWkGwhXSb+qi2fZ9h
TECCiW9U5mbE5xzgXOzU3/EUFMfctSxFJhE5XRiMlzoT4/1WyZEDa6HTnlZGl5+7zE6WJag+uuVW
MhPmeDF22oEDM2ye5x17LQ2435hK8yDpAOBGbobLQunRELRQSIoRFKcZQ8Pr65HiNHcYfGdqxduD
HWdIihdbd2mfNpODnOCabj/qpL/wEFU067DKyzNFaO0dTVpxbIRFv+5DWa0FKrtVMqCjYM9nHDip
PxwVRlAfIyromE66nXNedXZ7kITOSDlJwoYDOwfPrq4BGkCjbwsMBMzZUqyoRbTyzNG+UUgPAk0g
UuQwusXUTY33q9CkmK5VjyI3sd8bZqgvoXiPe2ke2itz0EHFZWWTndZWrB2bhdIuNb0olpn03M0A
Bu9S8Xtj1RI3cpv1SHCzcvCQYDfJgruEASZbuHu1N9BiwPyqj9JCU5cNYId9yxXWoQSmQlMgy/p1
SkTClcqyRXwL6xVBi5N5lCk/7tXGXFSxmlwxVkpX0AyCk1yBJ8G+I11qUZCcdEL6t73RKCf0NY2l
kLp3iqjVOMFLUK5sStFN6iuk/9gWOi+7Sfb9yLwSWH/XKARQVvUyvI+DysVU5g5n6Me4kcicoYka
dca2dLlyvVH4e6CIEpokanUeEB4DqCjhCwlQOVo8FEduwUA8HJ1ggdHWPVRCBV8/bOhhAa4eAILv
xnOhetVbwtUKnv1Rkh+imgMoTtjaYsHYtpjHeQHIESi4RhduACGqTZibpARVQtkEaVPvFtAJoOuJ
bLyJGZ7uIUwujjy7UzdxXyoHkTGES93OVdCorTwYxkDu0UuuQelQomYIize4AMfrnl4sy1iVn41T
Z7kthn5ZqnF14aGBWAk3WLMPjw9CiVGOVpSxRm7Rcu9WPvN1o9OWo9JyRQDGOuDzddOz952ioIOY
iwb/Zu9cDtWIoSMLA3xdJnZKcFcT9wyGacfrDv137+VwjYzgPbBW99wmWREJWItzVDhO/BZ6RXQc
w0CRs9CT+l7uS1E9pAP+Pwf6b2R5q5bD4OTrJOgTgtLyP/71fFj08V89ak9dBKaWSwwquRSmRgDF
p2GRZf5ma0wMiXT2EKVaUxDDIwla13+zNEhOrmtOAapEWvw5LNLt38BKk4NBFgVBDcyLvmdYZBkv
QdC2qrFHIrre1l3bIbXvufYUMVqoqczDF7wz2CdZYEeGZazl3Il6pdPBVmxlz7R7OP4l/DOShZoW
CaoDin9r9k6p07bvGU+nZQSDrXckGC8Hl5nP61plTOJmk1Kf9J1gz/bhKcxjV5TazB5qOIx5Gg+3
jH+ayRaaVleVDnN2rkTMoOdo7BByDkamvrWUQDtg2NFCgvFNH86DqhnNMpBExcySsgaGGHlOfWpE
ul7N/KZmoEoYgNqz2lBKUieo5nvPJlYSIMhkRM7sD6Pa8N4CiuxvYruy7xq9L06ndJgtuUboLYag
Q4skq4hrEAcp3rkksvtT8pwIr9eESi0buQrEsc5yOLVKtTqKw4pt+wCwsVtUWUojoa86q5oLgwSr
ua2M0XYICwYLie8HAP1ChH7rVsZ4KsJs9LYYDhja61mYo65Me8rL1uoqit0Br6EqlGETOAPVrBuk
EqCkn9UfcqwboMNqz9lD/Zqc+4idLmgQEZyA8EBHb2aKw0JMA3C0uibmgqB2bgS84g9ocyhrPXqK
7JDIUl9WNoIabPdOc4AHIz8KZOS8Gx1tRCWR6enbOuVFAug1l9eOWYzvzGykEMHPHp/IUrCz8UR5
FnWDCic06mpwgF6YNSPikgRlvZcIeaGATLzjiBZCECOyLjWX6Ff40lHEJZDCsRayTbVhVQJlillP
jejGGfvynslBRAccNSuwgAgXarD0M2npmNWsOptrRk93lCW5vYCtbjkzUXmWXEw7/3eanpn1XhR7
eD0QR145A5bNsh/8beWHIpoPJlX5uijDBH9wPm4Z2/dXoRjYGyE86Y4Rc2THopM9GCjfwhrZOaMf
s6+1BT4CHyQyEXVCUvVrrnNDSQypSzDX8RfJUKYKt6DrHqpqlkDb0MbxLVuX9hjao/4hc4V9rZFC
jeyLgeChCk/7wDVplQ5RiiqIrPv0bCikhLeZFbRSdFb8UyDyqOtaBdMcLxYtv6BDNrDwhz1ImlFq
AS9FUa/MMfDOIkupNnSFelLBCo/A4iAD4esirGXNyuu5SulqzmoZCpc5SNKdKYDvATG4an1dq7Ky
CX7rmd8pFWTPGSJmw6QXjskEP5lWgV4K5K1burWP2m8ywjKfNZcpZq1hNQYW3o8KQQu+SYEHm9JV
JO66tTJgnH3cjfoCZQ2ucz9or9GawtZWC2mgzfTpl8x6JMowII1UeEuZqM1dzugqB4qAxLRo+RGh
WQRJvLLoX7G5b8ekW1OZhyM7jsE47B2Rn8ZJCBiYISdAeLxySKYs19wa/ESMJNGxaWhH6XMCIUOS
U0kk7POqkMQ/YQzI+gWdQG6lKqaDO0OmFFuLRPGglOR5Gdhzz7fDK0V49TVwIDacXZzftA2Y3hnC
XN2g/qMTMvdKAm7wTDo2qqeods4zSCZUwYZeHcRag8iTXkxFYdi0NHRceONz5PNMO+vEsK7iSGB0
xz+qVJOQt1mxkzMxfYaqDuvFkdplFFtYWdSxGcikoFh+l1kpLS5ThQvYem51hBU4jiZXXfoeubLC
go6X/vcqSAlPofUo6dgaaLEEVrloWVYd+JGuUMJbl7GoujJpO6FDLfvkXuFU6rkOUgRgq5PgETWC
of9d7YNJnKRW2IAQ0JtnfukGw9JCAXfHkNo77/QUhZIEInnmZ9kIX8TS8Z6y4HFPqLrRa0jwpLnH
uQYW5XTEsof1ibgUsmfwro56a7zvtbhlf2/RrpoD0YCI42h9/KGQ5AzMzDaHJ2ZGwPVFKOS9Cjvu
UsSEDwBF0zDfqa0s4Tao7A+DwSIMMKAEHmein4gt6OKmaUWYMl6q87IfN0E1ucdQeaD3qWMbQ3vQ
kpMzS0gUh9Jphv1NYCjMi2xRniOvDG1ADRru9w6zorJUHVbqGX5TrUEI1RTv6yZE0QceaxL0J4Sp
LCEEpGcsyp25n2vEBK2DweDeholyTGooeS6Bxzwq7pnWwylysKubhR+VaxogtJg7PHd3UVra11TV
8E7LtqWjFOhwi1akjurJPjNZ7dKzFNU8GEfQFhvuDzx54NMLHbAXoalzgUCzoSpmeL9XuxWztzpK
vJG9SmteBhSy9DpyAAV7iAfluEkaIH2zhtt2Qf8N1r8oeLTniERqOtKNM5n4VbfBs5XLchMUTl/u
qTIpaXqlJByuQxPr1kbQEpQU9SjVz+lU+Gc+i5OcGappybd668GDDx2RXfudNsSLoREK442MxDlC
I2oGMJHf2BvdNumoqINHK8Rq/LEC11r7DgwVjT2HObZwTQdhxGdtYeCK6TDXxrNBBcdOP01PhsWI
A8VdxtJhUxPhBAS+UZc2IToNsJUlEZF9vaxwveV7OXGmLWxDbfRmjGXxqbPr6RqyTPtUA8xogYeE
1MDfh9jHb1FxFwqueYOIV4OujcutaQznjkPbbh9Db9uuI5V3VJUZlb/JkhxUMLoF9aLPpYZwtWQq
xx5PrkUe0FPA9iGhsdAdRS3aqOmNrHr/wqfDxng28JgaDb3EoNlLB/qpN5QHIiqNK2a/E+qadIir
Ekc3GNFG89aETZINmCRxnm3oBfkEIIiiowOi18ECbgR4Gm0sNQBNScmtTtM3xXKUg8LAQs8C6LLN
Pqml0qQzURg+tM6JRz0J1/VZVDKkmBuIGC9VWmU3KV5UuBipk9tzzL9uNferXpzkscl8VsgE64Om
EyOxEkZmn/Mmo6Rrat05CX0Llnfp+tRV7PoKeVw4qrjo4xS5nhvYGrHPNclO8yJpPBwshlr2C33i
/ud5UDZLOwNHt0zxYrxNQ7/7YBIuCLmACIrDUumdO99IWgb5esWNIkxLUZgOJA2gXYBoCreOhMYf
Yqm4RIWishwABohRrA/iqsOzAAYlznndDyNvb0bKKigbBwRttHYiBwuFkfThe9dXWDAAedgsMPiA
wKXDG5VsH4cGib9e0rFVPNppVItj5s4LUi8XsS2Tc7uOG7q7bcpQwco1MitiFTcTrDi2hIiu+hGQ
j9RZ7tO2DmiX8qKwV1oSZpcaqQQUJgTzRvt9kw3awz7vIRXw5PNYOIRrzwxq7FSwC5iqarM2I2x7
Ebrt2wPD45AQEUPrxo1ijyCfSngQT7ZPXzjKC9ka7tjnR3mxFakN8BZmG8WLgryHy5aigfsr7w9l
qFZAyQqQ3KNS2bPvPypqvknnh5gPKdnzDZDVD1FSUowu4JOEZ2JaCTOz0A+AWPnU+NI3NmbY+NvX
j6pNH/vU8zed7NPDsv176vkTDgQ33v8AtgRrwqKUInC4GxFZo3zSQTEZAisLGmrAfzXO9OtCoOfA
r5YyyzAoscT3/saIBS1Lm4yInmoSlfj8C2lBwWQboSuIEloOtLAAWoeEPr9+3lOu0LPT3h0F+SM7
W5cLMN1pt9uzKA/qv/9N+x8TXV2DioqJCUZt5ONOtW6bEteLNVqL2MdQbNc23kapBt848udX/MWh
X7gsCXXi/Y2WYrL9bBqPMc5Yq9DC6fEi9zObM7t2sQ44bbWmd8QeRNW8U79tzJPXL8FnDxPfw3am
3CWN/qn3csdtj4YzWBl1XesRZ9IgZETRUIsHJe9XH9npbF5e6KdHeRHwVIlIoDRqI3KikSJYpT0s
1aDtVoKe3OI7T4gtB0sDkwBstNzWU2rmk980HtPWD3ovXjCayxdDqFhzoCnD+i8cxXUt23JsFYHr
ixNi0sWQ2iUHzwVoCw7LCnmZ1tY3VoPPLhvnops0Q6juaM5YL+7PgInRgO4zhtE6xOzzCY+KaLRu
el/tD14/oc+XOyzHjsFzoDoqJuIXCw+7C1VVoyhZlGR53BKRnl3gkCBzKLag8btC2Q88Rl+vH/Sz
m4/zs3ZBqSSp2u4kiH76W9FSJLi35CoGICAOc8ZQqwCr6PfefBzFNjSTrqXOoPblmgratzQn4N+C
CM3q/ehr1h4bdWUvlVgOvveEHCQBNpfKYkpoGy9uC3Uso6EA8b4o5CjWXp3+Xhl2vvz+gzgucgFL
1zXIfS9+qn6sSdHse5YO2+4Xdqsnh0nDNvYvHGUXK6tptqnbL54jK26plXwrWjh6R0xKIZKVNm0I
Xz/K57cdTyhedy4WE+ydr/3pHcA8k4cIFdYCExDaMv7PMqDkO80tMs4xZiIGxg4df+PcvnBUXVUJ
7zUsXTXxuT+/75hCmErnSJ5eB9tQ02g04h1FuBvVc9jWxoV7iDKxzr7xw33+ODs8ySpTV53aRTVf
vNQaZYrAI5F3AXbIWREMOjJ8Q+s9o9mp2984R236tGdr7vT2NNHAWo5mcZIvfkAPu44DlD9eCKe1
jym+J1xvrZyXluosOqQXAToSDYJILfT+SFNH75gxviBQg63fuqlwHdPi8dev/+D6JPd/+bVM5tc8
hwTMkCP4/NoDEfRDlOvRgtkLtWXbU3EvzYpcgn1HcfOtrhDmRlZ9rl4zH+kXsoEb6aQi09aJ1Myj
Asy9M9N9cgCjLk422qgr922mGdQkSYTbh1YIMTqx4+FwZCvwcMP+/5CBIYM9FZ1Pfs4poftj8vbx
NiN5e36/rV7OGD7+o48zBsP5jTaA7rosGAQzM074NGMwtd9MXWNt3M0eHlb7TzOG31jQbIcqZFoO
8Mj9OWJwyNNmJMFMwPBMm5GB/j0jBmgZL+4/j1oHuxZ1Je8bg2HI8/vP7NuuqaJYMDvswGjj2s7Q
G41lfUcuO5ZStjnh2tXYeM8BFvY3Yuj7G9bHZNsxAq1mlSZRyFgitz4YLYCAIW5rfzEKXNYQLZ3h
LoAzLME+2l264HVgo80YB+T7GmylmY3U8/eGdf10oBuYHvTwz8AdSqAIC5j2/iUpFKPE2K90NSQj
uLAJO89pFKmjJ22bThPzaJDkfISR0I8BEqRXPp31yrbdZKOa1D6zVkoMshLcHFTMceguO9sh0U8z
h+RkjCXPlMo2b5+QYlMs4ijN2bsORIAu2FCK/UqrJ4VVIaNrWAREYhp2lh4pqg2YHds3DT8MqNh3
205tDpi+pNArrQZtCdAbbJV2X+vdnNZAc6ZOAcB6WZIAQfaWrHBUEhHc1nV9UvQFW1wy9iaGWTwG
yYKWbnBEYI4xzIraI3HYLrv2QDP81FqpUySxDNwmXEtfAm/NcgQgHW36dllrKs252kkKez+zB6Qm
0RR3PFLvynlhWShtbNxz+2OauN4aMUp80fiNcxx2JAwwE3azLXK0lGxCluYSsr0vryTJwWz5LddP
NtEUxawDOoYHiyvQXwWstfgLNT+8LbsCCbemYAs5zWkNEO5sYG7vcMSZpb2yaGUbW7oF6QdGvR5A
Z7NPA/J/SsCExGKB05rpRmMYc5uO1VXbjvoxKbwOLST4YDkaPcSK24R4XueAtqhvHfqWxGo8d2yZ
MU2KoBpsylrzwU+iQ6r3ssijOUfDPcEub8oiRrOmNfWKjjLaDYEP0lojSa3fJ4RtiqWFIGJp96DH
l6ZWOIRWaR6gQSPPKguvdAZrIgBHRShdaZMKA403HU5iJuN4cyKtwZJj5o1LL0bXr4ykGOA3Iulh
4C/RmB2jqakA5edB7NJnhPoCCLss8JETKE04iuN32H31UN8UjezNfYwjTXoCHiKVFzxc4h0dS0Y3
hUIk8XEXNCm4FfSOc9orLV4gqZ4qtWKjv9B9bU1PfUhn2J3aYY3Qv9Le5WilIIaQ+gRbQ+3Qg8RV
K09L3TSuM6dT2VjSyPOQxrl9+qGavFbrZIcEGLwJD2DtUAGOPrrX1Q4ggL63iNdCBRpCnjGMAQdo
V/HBj7X2KAhSIASpmQ2nww5NEHoK3xLSbnZAbw54gdyBDHDB0oWrlSE+R7xRXZS2jppooh8EGPKK
mQ9DWsVrOwEStImVEGQQZ2dGDUEBnQAaRPTM+VG5Qyy4O9yCN5EXuP8ImYomHkMMbOpDpXO8Zb/j
NYgJ3WBNFAelcYZ+Xe/gDtnEeRAIRWiXdl56xPYelzMKNuWwGnD0LwOja99BE8jrWdKXBS4eXVhH
tM9gU8Y4jhPSZXBDnzLLBz3RjhZTA4xcMCaScsJTmDtUBe53/32wA1iIHcxCtTPM5ubEuIiKCXdh
79AX2Q6DQUIrSAxth8eIlK58L3fQDIbPtA25T41DNANIpMYdYkOR5OpgfJ7QG6aiK2+RCePkCtma
Xbg7TAfdFbnH8Ap4h6kWaD92SA9rh/cA5QDqI5moH/UOAIKcARhIJlsY9dmECJE7XIifB8mpt4OI
8LQx7Ulq2CLdRBkJfOuq0owAPfQDhCScgCQYeNkP7jAlww5ZklRKANRrhzLxd1iT1pgQJ/EOd4Kz
BfSJYU4YFMWZiCitiVeknzgp+KxjEnhMvX6bVUO1DXdIFcMS+PrHibTCWAk8Rj7xV4jfPYwp3Jyj
hKJpQzc9Vg6cHbSlGvr23Pd48R0CsvV+z1NUsYRbRdFFDNEzXyBuIY4rJ/gQA0SQVMEq6Evy36yO
QLdZRdCMt+Z9AKUG8RRjBM+J2rNJ5JaswPLgXMnpbNJrByqBli6rnRr4GbyGhao2EPN4RTPAQHON
uabuwEYrrQ+Zzo9q9pl5CLg6BTLLhycqWTo6us+9wS/D2wIaUraQOsqZ2dgCrpu7qJgSxC2Mcedu
wroxR+TKwHlX0vxCFd7HrzqVX0saQc1w2t5Xw9l93aZNvYs0J0p4Dmvnbvc/R/cQNv7zP/j6B3ys
9Xagsz+rrN2BLobi/uHQ97tvNP3//9je0fFdEMGNfPAheP3J/7gLYn/8nh//+ccT+/yrf/E7Pf7H
TXRfbavbcHi4GM8q0n/eVvdPNS+2ScH557f4+9+efccnte2rH5puA7GtHz9ouh50P9jL//AHZ9tR
5C8+2ZxaVD/6ybNt+Nwpjh+cyvZHP3Z1f8e1T988/siPnzhdEk+jFP/hIyzr4o9/k2Eu3pyTZC8e
P/DhmpOP9/gfpjvor/2aaxH98a/nP6auu+zNf/TiHE2Sq/CP/332pXWVhvHP+GyuCM4lLO1v7rg2
bfr4mdOVoYswibd+/AQ+HeTxwx4+nU3a43/469cdRdrzvaJuad7P+dztH/++2T5+w91XpqPyE57P
k/sq32Y37e3zn5TW60+42mcRP+X9m/1tfh9Vzw8ATv8nfPvpAGtuSQ7CLXMsqubZ0qgDiaAB+6M3
zfOjvLwxJxDFjx9jWgq2b+a8/6oof/5De8hVfsIBeGrfnGzhQj1+1u4u8lyddsGPXqHz+yqIimfX
nr761Ij40U++ELdcGVRPjx81fWuDNIifcM3/SfLJ8+d1gp3+hOf1iJ+wfrPmPRI9/958/E/4Kb9O
XP1UqPy19wbT1W2UPbv7pivyMx6h19EuP/i9X1UC/+Bnv9YAfPWjv1T5/eNZibic/v3zUvabf/Cp
GOaceba+8BHf/ovHKvMLH/HxeZ0eMhw9U8nwSX+9O9Tw8Q8emqPP64zX35tPDvb4IbtHmeeBQzxu
Vb52Uq985YdNwit/8OScGEJM7/nXzulo+1mF8Cuc2EOh8dqJ8QP8udj9Eqe0q0FePaXPipdf4bwe
Sp/XzuvLddOvcW5TMfStc/uzZHtSTP0Kp/dQir12el+u436Jc9tVgq+e22cl5C9wXoZmeMjlXj2v
CSv/5p/ZPU2dT8XPw6ndCt7ROS/aJ5/wtTeZh4xk92f/pZfZ1It47bRm1baOPm2iH8+nJcKTxloQ
ifzJP//aOX26eP+tc3qokF87rS8V17/Cffjp9niQkH2hnHrc4jycTZGybX647/5LF/+hvfXatX9o
ilEgfeySPf/GX2s8fu3m+k9Lv2+dPhXv9Ce3KbP6f/wfAAAA//8=</cx:binary>
              </cx:geoCache>
            </cx:geography>
          </cx:layoutPr>
          <cx:valueColors>
            <cx:minColor>
              <a:srgbClr val="5CB8E6"/>
            </cx:minColor>
          </cx:valueColors>
        </cx:series>
      </cx:plotAreaRegion>
    </cx:plotArea>
    <cx:legend pos="r" align="min" overlay="0">
      <cx:txPr>
        <a:bodyPr spcFirstLastPara="1" vertOverflow="ellipsis" horzOverflow="overflow" wrap="square" lIns="0" tIns="0" rIns="0" bIns="0" anchor="ctr" anchorCtr="1"/>
        <a:lstStyle/>
        <a:p>
          <a:pPr algn="ctr" rtl="0">
            <a:defRPr>
              <a:latin typeface="Segoe UI" panose="020B0502040204020203" pitchFamily="34" charset="0"/>
              <a:ea typeface="Segoe UI" panose="020B0502040204020203" pitchFamily="34" charset="0"/>
              <a:cs typeface="Segoe UI" panose="020B0502040204020203" pitchFamily="34" charset="0"/>
            </a:defRPr>
          </a:pPr>
          <a:endParaRPr lang="en-US" sz="900" b="0" i="0" u="none" strike="noStrike" baseline="0">
            <a:solidFill>
              <a:sysClr val="windowText" lastClr="000000">
                <a:lumMod val="65000"/>
                <a:lumOff val="35000"/>
              </a:sysClr>
            </a:solidFill>
            <a:latin typeface="Segoe UI" panose="020B0502040204020203" pitchFamily="34" charset="0"/>
            <a:cs typeface="Segoe UI" panose="020B0502040204020203" pitchFamily="34" charset="0"/>
          </a:endParaRPr>
        </a:p>
      </cx:txPr>
    </cx:legend>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microsoft.com/office/2014/relationships/chartEx" Target="../charts/chartEx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35486</xdr:colOff>
      <xdr:row>0</xdr:row>
      <xdr:rowOff>169957</xdr:rowOff>
    </xdr:from>
    <xdr:ext cx="2084187" cy="401544"/>
    <xdr:pic>
      <xdr:nvPicPr>
        <xdr:cNvPr id="2" name="Imagem 3">
          <a:extLst>
            <a:ext uri="{FF2B5EF4-FFF2-40B4-BE49-F238E27FC236}">
              <a16:creationId xmlns:a16="http://schemas.microsoft.com/office/drawing/2014/main" id="{32F7B812-2854-4C00-9E7E-ECF947435DFB}"/>
            </a:ext>
          </a:extLst>
        </xdr:cNvPr>
        <xdr:cNvPicPr>
          <a:picLocks noChangeAspect="1"/>
        </xdr:cNvPicPr>
      </xdr:nvPicPr>
      <xdr:blipFill rotWithShape="1">
        <a:blip xmlns:r="http://schemas.openxmlformats.org/officeDocument/2006/relationships" r:embed="rId1"/>
        <a:srcRect l="11287" t="42147" r="10164" b="42558"/>
        <a:stretch/>
      </xdr:blipFill>
      <xdr:spPr>
        <a:xfrm>
          <a:off x="151903" y="169957"/>
          <a:ext cx="2084187" cy="40154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10</xdr:col>
      <xdr:colOff>645584</xdr:colOff>
      <xdr:row>69</xdr:row>
      <xdr:rowOff>74083</xdr:rowOff>
    </xdr:from>
    <xdr:to>
      <xdr:col>19</xdr:col>
      <xdr:colOff>1818</xdr:colOff>
      <xdr:row>90</xdr:row>
      <xdr:rowOff>0</xdr:rowOff>
    </xdr:to>
    <xdr:graphicFrame macro="">
      <xdr:nvGraphicFramePr>
        <xdr:cNvPr id="3" name="Chart 2">
          <a:extLst>
            <a:ext uri="{FF2B5EF4-FFF2-40B4-BE49-F238E27FC236}">
              <a16:creationId xmlns:a16="http://schemas.microsoft.com/office/drawing/2014/main" id="{42614470-DA42-4535-8716-7EA88ECC18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2900502</xdr:colOff>
      <xdr:row>47</xdr:row>
      <xdr:rowOff>70532</xdr:rowOff>
    </xdr:from>
    <xdr:to>
      <xdr:col>19</xdr:col>
      <xdr:colOff>0</xdr:colOff>
      <xdr:row>69</xdr:row>
      <xdr:rowOff>42333</xdr:rowOff>
    </xdr:to>
    <xdr:graphicFrame macro="">
      <xdr:nvGraphicFramePr>
        <xdr:cNvPr id="4" name="Chart 3">
          <a:extLst>
            <a:ext uri="{FF2B5EF4-FFF2-40B4-BE49-F238E27FC236}">
              <a16:creationId xmlns:a16="http://schemas.microsoft.com/office/drawing/2014/main" id="{AE388952-ED5E-471D-8C10-E4A50A43C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37041</xdr:colOff>
      <xdr:row>47</xdr:row>
      <xdr:rowOff>78441</xdr:rowOff>
    </xdr:from>
    <xdr:to>
      <xdr:col>10</xdr:col>
      <xdr:colOff>613833</xdr:colOff>
      <xdr:row>69</xdr:row>
      <xdr:rowOff>63500</xdr:rowOff>
    </xdr:to>
    <xdr:graphicFrame macro="">
      <xdr:nvGraphicFramePr>
        <xdr:cNvPr id="5" name="Chart 4">
          <a:extLst>
            <a:ext uri="{FF2B5EF4-FFF2-40B4-BE49-F238E27FC236}">
              <a16:creationId xmlns:a16="http://schemas.microsoft.com/office/drawing/2014/main" id="{80299197-4C74-4B49-90F7-FBA17FDA88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47624</xdr:colOff>
      <xdr:row>69</xdr:row>
      <xdr:rowOff>82567</xdr:rowOff>
    </xdr:from>
    <xdr:to>
      <xdr:col>10</xdr:col>
      <xdr:colOff>613833</xdr:colOff>
      <xdr:row>90</xdr:row>
      <xdr:rowOff>10583</xdr:rowOff>
    </xdr:to>
    <xdr:graphicFrame macro="">
      <xdr:nvGraphicFramePr>
        <xdr:cNvPr id="6" name="Chart 5">
          <a:extLst>
            <a:ext uri="{FF2B5EF4-FFF2-40B4-BE49-F238E27FC236}">
              <a16:creationId xmlns:a16="http://schemas.microsoft.com/office/drawing/2014/main" id="{73A84CA5-151D-4003-A22A-B4775D92F2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645583</xdr:colOff>
      <xdr:row>47</xdr:row>
      <xdr:rowOff>73023</xdr:rowOff>
    </xdr:from>
    <xdr:to>
      <xdr:col>17</xdr:col>
      <xdr:colOff>2871543</xdr:colOff>
      <xdr:row>69</xdr:row>
      <xdr:rowOff>52916</xdr:rowOff>
    </xdr:to>
    <xdr:grpSp>
      <xdr:nvGrpSpPr>
        <xdr:cNvPr id="7" name="Group 6">
          <a:extLst>
            <a:ext uri="{FF2B5EF4-FFF2-40B4-BE49-F238E27FC236}">
              <a16:creationId xmlns:a16="http://schemas.microsoft.com/office/drawing/2014/main" id="{68A3E73B-222A-4EEB-8959-CE61C58A91A8}"/>
            </a:ext>
          </a:extLst>
        </xdr:cNvPr>
        <xdr:cNvGrpSpPr/>
      </xdr:nvGrpSpPr>
      <xdr:grpSpPr>
        <a:xfrm>
          <a:off x="8030259" y="20691847"/>
          <a:ext cx="7996990" cy="4170893"/>
          <a:chOff x="5783792" y="9058273"/>
          <a:chExt cx="5184000" cy="3816000"/>
        </a:xfrm>
      </xdr:grpSpPr>
      <mc:AlternateContent xmlns:mc="http://schemas.openxmlformats.org/markup-compatibility/2006">
        <mc:Choice xmlns:cx6="http://schemas.microsoft.com/office/drawing/2016/5/12/chartex" Requires="cx6">
          <xdr:graphicFrame macro="">
            <xdr:nvGraphicFramePr>
              <xdr:cNvPr id="8" name="Chart 7">
                <a:extLst>
                  <a:ext uri="{FF2B5EF4-FFF2-40B4-BE49-F238E27FC236}">
                    <a16:creationId xmlns:a16="http://schemas.microsoft.com/office/drawing/2014/main" id="{B1820883-8338-C1AA-059E-E2D7BF2A74C3}"/>
                  </a:ext>
                </a:extLst>
              </xdr:cNvPr>
              <xdr:cNvGraphicFramePr/>
            </xdr:nvGraphicFramePr>
            <xdr:xfrm>
              <a:off x="5783792" y="9058273"/>
              <a:ext cx="5184000" cy="3816000"/>
            </xdr:xfrm>
            <a:graphic>
              <a:graphicData uri="http://schemas.microsoft.com/office/drawing/2014/chartex">
                <cx:chart xmlns:cx="http://schemas.microsoft.com/office/drawing/2014/chartex" xmlns:r="http://schemas.openxmlformats.org/officeDocument/2006/relationships" r:id="rId5"/>
              </a:graphicData>
            </a:graphic>
          </xdr:graphicFrame>
        </mc:Choice>
        <mc:Fallback>
          <xdr:sp macro="" textlink="">
            <xdr:nvSpPr>
              <xdr:cNvPr id="0" name=""/>
              <xdr:cNvSpPr>
                <a:spLocks noTextEdit="1"/>
              </xdr:cNvSpPr>
            </xdr:nvSpPr>
            <xdr:spPr>
              <a:xfrm>
                <a:off x="5783792" y="9058273"/>
                <a:ext cx="5184000" cy="3816000"/>
              </a:xfrm>
              <a:prstGeom prst="rect">
                <a:avLst/>
              </a:prstGeom>
              <a:solidFill>
                <a:prstClr val="white"/>
              </a:solidFill>
              <a:ln w="1">
                <a:solidFill>
                  <a:prstClr val="green"/>
                </a:solidFill>
              </a:ln>
            </xdr:spPr>
            <xdr:txBody>
              <a:bodyPr vertOverflow="clip" horzOverflow="clip"/>
              <a:lstStyle/>
              <a:p>
                <a:r>
                  <a:rPr lang="pt-BR" sz="1100"/>
                  <a:t>Este gráfico não está disponível na sua versão de Excel.
Editar esta forma ou salvar esta pasta de trabalho em um formato de arquivo diferente quebrará o gráfico permanentemente.</a:t>
                </a:r>
              </a:p>
            </xdr:txBody>
          </xdr:sp>
        </mc:Fallback>
      </mc:AlternateContent>
      <xdr:sp macro="" textlink="">
        <xdr:nvSpPr>
          <xdr:cNvPr id="9" name="TextBox 8">
            <a:extLst>
              <a:ext uri="{FF2B5EF4-FFF2-40B4-BE49-F238E27FC236}">
                <a16:creationId xmlns:a16="http://schemas.microsoft.com/office/drawing/2014/main" id="{06A34F18-1CEC-10EB-5551-978C8FAF4278}"/>
              </a:ext>
            </a:extLst>
          </xdr:cNvPr>
          <xdr:cNvSpPr txBox="1"/>
        </xdr:nvSpPr>
        <xdr:spPr>
          <a:xfrm>
            <a:off x="8244416" y="11059585"/>
            <a:ext cx="42333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solidFill>
                  <a:schemeClr val="bg2">
                    <a:lumMod val="25000"/>
                  </a:schemeClr>
                </a:solidFill>
                <a:latin typeface="Segoe UI" panose="020B0502040204020203" pitchFamily="34" charset="0"/>
                <a:cs typeface="Segoe UI" panose="020B0502040204020203" pitchFamily="34" charset="0"/>
              </a:rPr>
              <a:t>8%</a:t>
            </a:r>
          </a:p>
        </xdr:txBody>
      </xdr:sp>
      <xdr:sp macro="" textlink="">
        <xdr:nvSpPr>
          <xdr:cNvPr id="10" name="TextBox 9">
            <a:extLst>
              <a:ext uri="{FF2B5EF4-FFF2-40B4-BE49-F238E27FC236}">
                <a16:creationId xmlns:a16="http://schemas.microsoft.com/office/drawing/2014/main" id="{8ADC277E-EFBE-5FF8-8430-979497851C70}"/>
              </a:ext>
            </a:extLst>
          </xdr:cNvPr>
          <xdr:cNvSpPr txBox="1"/>
        </xdr:nvSpPr>
        <xdr:spPr>
          <a:xfrm>
            <a:off x="8885044" y="10452028"/>
            <a:ext cx="42333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solidFill>
                  <a:schemeClr val="bg2">
                    <a:lumMod val="25000"/>
                  </a:schemeClr>
                </a:solidFill>
                <a:latin typeface="Segoe UI" panose="020B0502040204020203" pitchFamily="34" charset="0"/>
                <a:cs typeface="Segoe UI" panose="020B0502040204020203" pitchFamily="34" charset="0"/>
              </a:rPr>
              <a:t>4%</a:t>
            </a:r>
          </a:p>
        </xdr:txBody>
      </xdr:sp>
      <xdr:sp macro="" textlink="">
        <xdr:nvSpPr>
          <xdr:cNvPr id="11" name="TextBox 10">
            <a:extLst>
              <a:ext uri="{FF2B5EF4-FFF2-40B4-BE49-F238E27FC236}">
                <a16:creationId xmlns:a16="http://schemas.microsoft.com/office/drawing/2014/main" id="{587936B6-F268-A643-F796-04D17DCEFD40}"/>
              </a:ext>
            </a:extLst>
          </xdr:cNvPr>
          <xdr:cNvSpPr txBox="1"/>
        </xdr:nvSpPr>
        <xdr:spPr>
          <a:xfrm>
            <a:off x="8587008" y="11698598"/>
            <a:ext cx="42333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solidFill>
                  <a:schemeClr val="bg2">
                    <a:lumMod val="25000"/>
                  </a:schemeClr>
                </a:solidFill>
                <a:latin typeface="Segoe UI" panose="020B0502040204020203" pitchFamily="34" charset="0"/>
                <a:cs typeface="Segoe UI" panose="020B0502040204020203" pitchFamily="34" charset="0"/>
              </a:rPr>
              <a:t>3%</a:t>
            </a:r>
          </a:p>
        </xdr:txBody>
      </xdr:sp>
      <xdr:sp macro="" textlink="">
        <xdr:nvSpPr>
          <xdr:cNvPr id="12" name="TextBox 11">
            <a:extLst>
              <a:ext uri="{FF2B5EF4-FFF2-40B4-BE49-F238E27FC236}">
                <a16:creationId xmlns:a16="http://schemas.microsoft.com/office/drawing/2014/main" id="{C683EFB6-1366-A8C5-F180-AA3894E54AE2}"/>
              </a:ext>
            </a:extLst>
          </xdr:cNvPr>
          <xdr:cNvSpPr txBox="1"/>
        </xdr:nvSpPr>
        <xdr:spPr>
          <a:xfrm>
            <a:off x="8056034" y="12098867"/>
            <a:ext cx="42333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solidFill>
                  <a:schemeClr val="bg2">
                    <a:lumMod val="25000"/>
                  </a:schemeClr>
                </a:solidFill>
                <a:latin typeface="Segoe UI" panose="020B0502040204020203" pitchFamily="34" charset="0"/>
                <a:cs typeface="Segoe UI" panose="020B0502040204020203" pitchFamily="34" charset="0"/>
              </a:rPr>
              <a:t>3%</a:t>
            </a:r>
          </a:p>
        </xdr:txBody>
      </xdr:sp>
      <xdr:sp macro="" textlink="">
        <xdr:nvSpPr>
          <xdr:cNvPr id="13" name="Rectangle 12">
            <a:extLst>
              <a:ext uri="{FF2B5EF4-FFF2-40B4-BE49-F238E27FC236}">
                <a16:creationId xmlns:a16="http://schemas.microsoft.com/office/drawing/2014/main" id="{C8EA3A48-4C46-0376-3AD9-AFFB2D7DA460}"/>
              </a:ext>
            </a:extLst>
          </xdr:cNvPr>
          <xdr:cNvSpPr/>
        </xdr:nvSpPr>
        <xdr:spPr>
          <a:xfrm>
            <a:off x="9281584" y="12213167"/>
            <a:ext cx="158750" cy="137583"/>
          </a:xfrm>
          <a:prstGeom prst="rect">
            <a:avLst/>
          </a:prstGeom>
          <a:solidFill>
            <a:srgbClr val="2198CD"/>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14" name="TextBox 13">
            <a:extLst>
              <a:ext uri="{FF2B5EF4-FFF2-40B4-BE49-F238E27FC236}">
                <a16:creationId xmlns:a16="http://schemas.microsoft.com/office/drawing/2014/main" id="{CE271415-C5BE-0E5A-FE5E-3E41222E1A9E}"/>
              </a:ext>
            </a:extLst>
          </xdr:cNvPr>
          <xdr:cNvSpPr txBox="1"/>
        </xdr:nvSpPr>
        <xdr:spPr>
          <a:xfrm>
            <a:off x="9417049" y="12136968"/>
            <a:ext cx="137795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solidFill>
                  <a:schemeClr val="bg2">
                    <a:lumMod val="25000"/>
                  </a:schemeClr>
                </a:solidFill>
                <a:latin typeface="Segoe UI" panose="020B0502040204020203" pitchFamily="34" charset="0"/>
                <a:cs typeface="Segoe UI" panose="020B0502040204020203" pitchFamily="34" charset="0"/>
              </a:rPr>
              <a:t>11% - Pulverizado</a:t>
            </a:r>
          </a:p>
        </xdr:txBody>
      </xdr:sp>
    </xdr:grpSp>
    <xdr:clientData/>
  </xdr:twoCellAnchor>
  <xdr:oneCellAnchor>
    <xdr:from>
      <xdr:col>1</xdr:col>
      <xdr:colOff>35486</xdr:colOff>
      <xdr:row>0</xdr:row>
      <xdr:rowOff>169957</xdr:rowOff>
    </xdr:from>
    <xdr:ext cx="2084187" cy="401544"/>
    <xdr:pic>
      <xdr:nvPicPr>
        <xdr:cNvPr id="19" name="Imagem 3">
          <a:extLst>
            <a:ext uri="{FF2B5EF4-FFF2-40B4-BE49-F238E27FC236}">
              <a16:creationId xmlns:a16="http://schemas.microsoft.com/office/drawing/2014/main" id="{4012D720-8DC5-4EBB-B4BF-1CE4C5FBCAD0}"/>
            </a:ext>
          </a:extLst>
        </xdr:cNvPr>
        <xdr:cNvPicPr>
          <a:picLocks noChangeAspect="1"/>
        </xdr:cNvPicPr>
      </xdr:nvPicPr>
      <xdr:blipFill rotWithShape="1">
        <a:blip xmlns:r="http://schemas.openxmlformats.org/officeDocument/2006/relationships" r:embed="rId6"/>
        <a:srcRect l="11287" t="42147" r="10164" b="42558"/>
        <a:stretch/>
      </xdr:blipFill>
      <xdr:spPr>
        <a:xfrm>
          <a:off x="149786" y="169957"/>
          <a:ext cx="2084187" cy="40154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35486</xdr:colOff>
      <xdr:row>0</xdr:row>
      <xdr:rowOff>169957</xdr:rowOff>
    </xdr:from>
    <xdr:ext cx="2084187" cy="401544"/>
    <xdr:pic>
      <xdr:nvPicPr>
        <xdr:cNvPr id="3" name="Imagem 3">
          <a:extLst>
            <a:ext uri="{FF2B5EF4-FFF2-40B4-BE49-F238E27FC236}">
              <a16:creationId xmlns:a16="http://schemas.microsoft.com/office/drawing/2014/main" id="{920B2429-0910-481D-804C-00D7BFA3DE04}"/>
            </a:ext>
          </a:extLst>
        </xdr:cNvPr>
        <xdr:cNvPicPr>
          <a:picLocks noChangeAspect="1"/>
        </xdr:cNvPicPr>
      </xdr:nvPicPr>
      <xdr:blipFill rotWithShape="1">
        <a:blip xmlns:r="http://schemas.openxmlformats.org/officeDocument/2006/relationships" r:embed="rId1"/>
        <a:srcRect l="11287" t="42147" r="10164" b="42558"/>
        <a:stretch/>
      </xdr:blipFill>
      <xdr:spPr>
        <a:xfrm>
          <a:off x="149786" y="169957"/>
          <a:ext cx="2084187" cy="401544"/>
        </a:xfrm>
        <a:prstGeom prst="rect">
          <a:avLst/>
        </a:prstGeom>
      </xdr:spPr>
    </xdr:pic>
    <xdr:clientData/>
  </xdr:oneCellAnchor>
</xdr:wsDr>
</file>

<file path=xl/richData/_rels/rdRichValueWebImage.xml.rels><?xml version="1.0" encoding="UTF-8" standalone="yes"?>
<Relationships xmlns="http://schemas.openxmlformats.org/package/2006/relationships"><Relationship Id="rId8" Type="http://schemas.openxmlformats.org/officeDocument/2006/relationships/hyperlink" Target="https://www.bing.com/images/search?form=xlimg&amp;q=Santa%20Catarina%20(state)" TargetMode="External"/><Relationship Id="rId13" Type="http://schemas.openxmlformats.org/officeDocument/2006/relationships/hyperlink" Target="https://www.bing.com/th?id=OSK.bd02a1429938bca1dc5bc8304028bb0c&amp;qlt=95" TargetMode="External"/><Relationship Id="rId18" Type="http://schemas.openxmlformats.org/officeDocument/2006/relationships/hyperlink" Target="https://www.bing.com/images/search?form=xlimg&amp;q=Par%c3%a1" TargetMode="External"/><Relationship Id="rId3" Type="http://schemas.openxmlformats.org/officeDocument/2006/relationships/hyperlink" Target="https://www.bing.com/th?id=OSK.29751007cf160ea55ecca603ade1abb0&amp;qlt=95" TargetMode="External"/><Relationship Id="rId7" Type="http://schemas.openxmlformats.org/officeDocument/2006/relationships/hyperlink" Target="https://www.bing.com/th?id=OSK.96286a1b4735a8da35f6bbec4fbdfee2&amp;qlt=95" TargetMode="External"/><Relationship Id="rId12" Type="http://schemas.openxmlformats.org/officeDocument/2006/relationships/hyperlink" Target="https://www.bing.com/images/search?form=xlimg&amp;q=Mato%20Grosso" TargetMode="External"/><Relationship Id="rId17" Type="http://schemas.openxmlformats.org/officeDocument/2006/relationships/hyperlink" Target="https://www.bing.com/th?id=OSK.3f1aa2cecd23eda384e0adf561cc8902&amp;qlt=95" TargetMode="External"/><Relationship Id="rId2" Type="http://schemas.openxmlformats.org/officeDocument/2006/relationships/hyperlink" Target="https://www.bing.com/images/search?form=xlimg&amp;q=S%c3%a3o%20Paulo%20(state)" TargetMode="External"/><Relationship Id="rId16" Type="http://schemas.openxmlformats.org/officeDocument/2006/relationships/hyperlink" Target="https://www.bing.com/images/search?form=xlimg&amp;q=Rio%20Grande%20do%20Sul" TargetMode="External"/><Relationship Id="rId20" Type="http://schemas.openxmlformats.org/officeDocument/2006/relationships/hyperlink" Target="https://www.bing.com/images/search?form=xlimg&amp;q=Pernambuco" TargetMode="External"/><Relationship Id="rId1" Type="http://schemas.openxmlformats.org/officeDocument/2006/relationships/hyperlink" Target="https://www.bing.com/th?id=OSK.7695e189827b940b156ea581416a4286&amp;qlt=95" TargetMode="External"/><Relationship Id="rId6" Type="http://schemas.openxmlformats.org/officeDocument/2006/relationships/hyperlink" Target="https://www.bing.com/images/search?form=xlimg&amp;q=Goi%c3%a1s" TargetMode="External"/><Relationship Id="rId11" Type="http://schemas.openxmlformats.org/officeDocument/2006/relationships/hyperlink" Target="https://www.bing.com/th?id=OSK.0082cb89dce5beef60cc242fa84879b9&amp;qlt=95" TargetMode="External"/><Relationship Id="rId5" Type="http://schemas.openxmlformats.org/officeDocument/2006/relationships/hyperlink" Target="https://www.bing.com/th?id=OSK.68d4a005d24a76aec4298ebda56c17de&amp;qlt=95" TargetMode="External"/><Relationship Id="rId15" Type="http://schemas.openxmlformats.org/officeDocument/2006/relationships/hyperlink" Target="https://www.bing.com/th?id=OSK.7bf0281a457e9e15fbe8aee95bf85562&amp;qlt=95" TargetMode="External"/><Relationship Id="rId10" Type="http://schemas.openxmlformats.org/officeDocument/2006/relationships/hyperlink" Target="https://www.bing.com/images/search?form=xlimg&amp;q=Federal%20District%20(Brazil)" TargetMode="External"/><Relationship Id="rId19" Type="http://schemas.openxmlformats.org/officeDocument/2006/relationships/hyperlink" Target="https://www.bing.com/th?id=OSK.1a81c0cb9c1bf94f97de66c7dbf24592&amp;qlt=95" TargetMode="External"/><Relationship Id="rId4" Type="http://schemas.openxmlformats.org/officeDocument/2006/relationships/hyperlink" Target="https://www.bing.com/images/search?form=xlimg&amp;q=Minas%20Gerais" TargetMode="External"/><Relationship Id="rId9" Type="http://schemas.openxmlformats.org/officeDocument/2006/relationships/hyperlink" Target="https://www.bing.com/th?id=OSK.14910895dabf26c75c08467f23c20f8b&amp;qlt=95" TargetMode="External"/><Relationship Id="rId14" Type="http://schemas.openxmlformats.org/officeDocument/2006/relationships/hyperlink" Target="https://www.bing.com/images/search?form=xlimg&amp;q=Rio%20de%20Janeiro%20(state)"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Srd>
</file>

<file path=xl/richData/rdarray.xml><?xml version="1.0" encoding="utf-8"?>
<arrayData xmlns="http://schemas.microsoft.com/office/spreadsheetml/2017/richdata2" count="10">
  <a r="1">
    <v t="r">5</v>
  </a>
  <a r="1">
    <v t="r">15</v>
  </a>
  <a r="1">
    <v t="r">24</v>
  </a>
  <a r="1">
    <v t="r">33</v>
  </a>
  <a r="4">
    <v t="r">43</v>
    <v t="r">44</v>
    <v t="r">45</v>
    <v t="r">46</v>
  </a>
  <a r="1">
    <v t="r">55</v>
  </a>
  <a r="1">
    <v t="r">64</v>
  </a>
  <a r="1">
    <v t="r">73</v>
  </a>
  <a r="1">
    <v t="r">82</v>
  </a>
  <a r="1">
    <v t="r">91</v>
  </a>
</arrayData>
</file>

<file path=xl/richData/rdrichvalue.xml><?xml version="1.0" encoding="utf-8"?>
<rvData xmlns="http://schemas.microsoft.com/office/spreadsheetml/2017/richdata" count="95">
  <rv s="0">
    <v>536870912</v>
    <v>São Paulo</v>
    <v>4d56ae2d-1aad-8c4f-dca2-4456acc12f89</v>
    <v>pt-BR</v>
    <v>Map</v>
  </rv>
  <rv s="1">
    <fb>248209.4</fb>
    <v>10</v>
  </rv>
  <rv s="0">
    <v>536870912</v>
    <v>São Paulo</v>
    <v>c6cf2f6e-626c-4267-ae48-9e13ea74d2b9</v>
    <v>pt-BR</v>
    <v>Map</v>
  </rv>
  <rv s="2">
    <v>0</v>
    <v>8</v>
    <v>0</v>
    <v>7</v>
    <v>0</v>
    <v>Image of São Paulo</v>
  </rv>
  <rv s="3">
    <v>https://www.bing.com/search?q=S%c3%a3o+Paulo+estado&amp;form=skydnc</v>
    <v>Aprenda mais com Bing</v>
  </rv>
  <rv s="0">
    <v>805306368</v>
    <v>Tarcísio de Freitas (Governador)</v>
    <v>a0d931ae-b6e5-eae6-15ae-9ea3265ba02e</v>
    <v>pt-BR</v>
    <v>Generic</v>
  </rv>
  <rv s="4">
    <v>0</v>
  </rv>
  <rv s="0">
    <v>536870912</v>
    <v>Brasil</v>
    <v>a828cf41-b938-49fe-7986-4b336618d413</v>
    <v>pt-BR</v>
    <v>Map</v>
  </rv>
  <rv s="1">
    <fb>45595497</fb>
    <v>10</v>
  </rv>
  <rv s="5">
    <v>#VALUE!</v>
    <v>pt-BR</v>
    <v>4d56ae2d-1aad-8c4f-dca2-4456acc12f89</v>
    <v>536870912</v>
    <v>1</v>
    <v>2</v>
    <v>3</v>
    <v>4</v>
    <v>São Paulo</v>
    <v>6</v>
    <v>7</v>
    <v>Map</v>
    <v>8</v>
    <v>9</v>
    <v>BR-SP</v>
    <v>1</v>
    <v>2</v>
    <v>São Paulo is one of the 26 states of the Federative Republic of Brazil and is named after Saint Paul of Tarsus. It is located in the Southeast Region and is limited by the states of Minas Gerais to the north and northeast, Paraná to the south, ...</v>
    <v>3</v>
    <v>4</v>
    <v>6</v>
    <v>2</v>
    <v>São Paulo</v>
    <v>7</v>
    <v>8</v>
    <v>São Paulo</v>
    <v>mdp/vdpid/29821</v>
  </rv>
  <rv s="0">
    <v>536870912</v>
    <v>Minas Gerais</v>
    <v>974e2066-dee0-aecd-c973-50babb750033</v>
    <v>pt-BR</v>
    <v>Map</v>
  </rv>
  <rv s="1">
    <fb>586514</fb>
    <v>10</v>
  </rv>
  <rv s="0">
    <v>536870912</v>
    <v>Belo Horizonte</v>
    <v>7d1c2d93-f138-98ba-29b3-c39c6ce5b7d8</v>
    <v>pt-BR</v>
    <v>Map</v>
  </rv>
  <rv s="2">
    <v>1</v>
    <v>8</v>
    <v>11</v>
    <v>7</v>
    <v>0</v>
    <v>Image of Minas Gerais</v>
  </rv>
  <rv s="3">
    <v>https://www.bing.com/search?q=Minas+Gerais&amp;form=skydnc</v>
    <v>Aprenda mais com Bing</v>
  </rv>
  <rv s="0">
    <v>805306368</v>
    <v>Romeu Zema (Governador)</v>
    <v>0b49577b-e092-186e-762c-adfe99963c80</v>
    <v>pt-BR</v>
    <v>Generic</v>
  </rv>
  <rv s="4">
    <v>1</v>
  </rv>
  <rv s="1">
    <fb>21119536</fb>
    <v>10</v>
  </rv>
  <rv s="5">
    <v>#VALUE!</v>
    <v>pt-BR</v>
    <v>974e2066-dee0-aecd-c973-50babb750033</v>
    <v>536870912</v>
    <v>1</v>
    <v>13</v>
    <v>3</v>
    <v>4</v>
    <v>Minas Gerais</v>
    <v>6</v>
    <v>7</v>
    <v>Map</v>
    <v>8</v>
    <v>14</v>
    <v>BR-MG</v>
    <v>11</v>
    <v>12</v>
    <v>Minas Gerais is one of the 27 federative units of Brazil, being the fourth largest state by area and the second largest in number of inhabitants with a population of 20,539,989 according to the 2022 census. Located in the Southeast Region of the ...</v>
    <v>13</v>
    <v>14</v>
    <v>16</v>
    <v>12</v>
    <v>Minas Gerais</v>
    <v>7</v>
    <v>17</v>
    <v>Minas Gerais</v>
    <v>mdp/vdpid/37692</v>
  </rv>
  <rv s="0">
    <v>536870912</v>
    <v>Goiás</v>
    <v>38750702-647a-b72a-2cec-e4a55e078f36</v>
    <v>pt-BR</v>
    <v>Map</v>
  </rv>
  <rv s="1">
    <fb>340086</fb>
    <v>10</v>
  </rv>
  <rv s="0">
    <v>536870912</v>
    <v>Goiânia</v>
    <v>1829f4c1-96fd-bd18-3015-b31e76f2f860</v>
    <v>pt-BR</v>
    <v>Map</v>
  </rv>
  <rv s="2">
    <v>2</v>
    <v>8</v>
    <v>15</v>
    <v>7</v>
    <v>0</v>
    <v>Image of Goiás</v>
  </rv>
  <rv s="3">
    <v>https://www.bing.com/search?q=Goi%c3%a1s&amp;form=skydnc</v>
    <v>Aprenda mais com Bing</v>
  </rv>
  <rv s="0">
    <v>805306368</v>
    <v>Ronaldo Caiado (Governador)</v>
    <v>9ca0a890-509d-b68d-cec0-182352886568</v>
    <v>pt-BR</v>
    <v>Generic</v>
  </rv>
  <rv s="4">
    <v>2</v>
  </rv>
  <rv s="1">
    <fb>6778772</fb>
    <v>10</v>
  </rv>
  <rv s="5">
    <v>#VALUE!</v>
    <v>pt-BR</v>
    <v>38750702-647a-b72a-2cec-e4a55e078f36</v>
    <v>536870912</v>
    <v>1</v>
    <v>17</v>
    <v>3</v>
    <v>4</v>
    <v>Goiás</v>
    <v>6</v>
    <v>7</v>
    <v>Map</v>
    <v>8</v>
    <v>14</v>
    <v>BR-GO</v>
    <v>20</v>
    <v>21</v>
    <v>Goiás is a Brazilian state located in the Center-West region. Goiás borders the Federal District and the states of Tocantins, Bahia, Minas Gerais, Mato Grosso do Sul and Mato Grosso. The state capital is Goiânia. With 7.2 million inhabitants, ...</v>
    <v>22</v>
    <v>23</v>
    <v>25</v>
    <v>21</v>
    <v>Goiás</v>
    <v>7</v>
    <v>26</v>
    <v>Goiás</v>
    <v>mdp/vdpid/12285</v>
  </rv>
  <rv s="0">
    <v>536870912</v>
    <v>Santa Catarina</v>
    <v>6262969d-76c7-e65f-1be5-668011a93ff0</v>
    <v>pt-BR</v>
    <v>Map</v>
  </rv>
  <rv s="1">
    <fb>95730.7</fb>
    <v>10</v>
  </rv>
  <rv s="0">
    <v>536870912</v>
    <v>Florianópolis</v>
    <v>21bdeb41-fb0e-9537-f2bb-6ca2732f1d96</v>
    <v>pt-BR</v>
    <v>Map</v>
  </rv>
  <rv s="2">
    <v>3</v>
    <v>8</v>
    <v>18</v>
    <v>7</v>
    <v>0</v>
    <v>Image of Santa Catarina</v>
  </rv>
  <rv s="3">
    <v>https://www.bing.com/search?q=Santa+Catarina&amp;form=skydnc</v>
    <v>Aprenda mais com Bing</v>
  </rv>
  <rv s="0">
    <v>805306368</v>
    <v>Jorginho Mello (Governador)</v>
    <v>435e3e8f-9115-80bc-41ec-9f57a3d2e500</v>
    <v>pt-BR</v>
    <v>Generic</v>
  </rv>
  <rv s="4">
    <v>3</v>
  </rv>
  <rv s="0">
    <v>536870912</v>
    <v>Joinville</v>
    <v>5e86234b-4bd7-a488-c6bc-8ed280c1c890</v>
    <v>pt-BR</v>
    <v>Map</v>
  </rv>
  <rv s="1">
    <fb>7001161</fb>
    <v>10</v>
  </rv>
  <rv s="5">
    <v>#VALUE!</v>
    <v>pt-BR</v>
    <v>6262969d-76c7-e65f-1be5-668011a93ff0</v>
    <v>536870912</v>
    <v>1</v>
    <v>20</v>
    <v>3</v>
    <v>4</v>
    <v>Santa Catarina</v>
    <v>6</v>
    <v>7</v>
    <v>Map</v>
    <v>8</v>
    <v>14</v>
    <v>BR-SC</v>
    <v>29</v>
    <v>30</v>
    <v>Santa Catarina is one of the 27 federative units of Brazil. It is located in the centre of the country's Southern region. It is bordered to the north by the state of Paraná, to the south by the state of Rio Grande do Sul, to the east by the ...</v>
    <v>31</v>
    <v>32</v>
    <v>34</v>
    <v>35</v>
    <v>Santa Catarina</v>
    <v>7</v>
    <v>36</v>
    <v>Santa Catarina</v>
    <v>mdp/vdpid/29612</v>
  </rv>
  <rv s="0">
    <v>536870912</v>
    <v>Federal District</v>
    <v>88dfc3b6-8e7a-694d-61b2-96d14f226ec4</v>
    <v>pt-BR</v>
    <v>Map</v>
  </rv>
  <rv s="1">
    <fb>5760.8</fb>
    <v>10</v>
  </rv>
  <rv s="0">
    <v>536870912</v>
    <v>Brasília</v>
    <v>0f4c1a26-f33c-b6de-a63f-578da6617369</v>
    <v>pt-BR</v>
    <v>Map</v>
  </rv>
  <rv s="2">
    <v>4</v>
    <v>8</v>
    <v>21</v>
    <v>7</v>
    <v>0</v>
    <v>Image of Federal District</v>
  </rv>
  <rv s="3">
    <v>https://www.bing.com/search?q=Distrito+Federal+Brasil&amp;form=skydnc</v>
    <v>Aprenda mais com Bing</v>
  </rv>
  <rv s="0">
    <v>805306368</v>
    <v>Ibaneis Rocha (Governador)</v>
    <v>57245eaa-8160-7a5c-b756-608805c52133</v>
    <v>pt-BR</v>
    <v>Generic</v>
  </rv>
  <rv s="0">
    <v>805306368</v>
    <v>Damares Alves (Senado)</v>
    <v>660fd674-bcb2-b6bb-c1d4-a983df83078f</v>
    <v>pt-BR</v>
    <v>Generic</v>
  </rv>
  <rv s="0">
    <v>805306368</v>
    <v>Izalci Lucas (Senado)</v>
    <v>738a22f9-28aa-39b2-1902-9cc1421471ad</v>
    <v>pt-BR</v>
    <v>Generic</v>
  </rv>
  <rv s="0">
    <v>805306368</v>
    <v>Leila Barros (Senado)</v>
    <v>24f9d264-fb70-785c-4b29-417717f7f396</v>
    <v>pt-BR</v>
    <v>Generic</v>
  </rv>
  <rv s="4">
    <v>4</v>
  </rv>
  <rv s="1">
    <fb>3039444</fb>
    <v>10</v>
  </rv>
  <rv s="5">
    <v>#VALUE!</v>
    <v>pt-BR</v>
    <v>88dfc3b6-8e7a-694d-61b2-96d14f226ec4</v>
    <v>536870912</v>
    <v>1</v>
    <v>23</v>
    <v>3</v>
    <v>4</v>
    <v>Federal District</v>
    <v>6</v>
    <v>7</v>
    <v>Map</v>
    <v>8</v>
    <v>14</v>
    <v>BR-DF</v>
    <v>39</v>
    <v>40</v>
    <v>The Federal District is one of 27 federative units of Brazil. Located in the Center-West Region, it is the smallest Brazilian federal unit and the only one that has no municipalities, being divided into 33 administrative regions. The federal ...</v>
    <v>41</v>
    <v>42</v>
    <v>47</v>
    <v>40</v>
    <v>Federal District</v>
    <v>7</v>
    <v>48</v>
    <v>Federal District</v>
    <v>mdp/vdpid/9132</v>
  </rv>
  <rv s="0">
    <v>536870912</v>
    <v>Mato Grosso</v>
    <v>af05c757-4d77-813e-b8eb-97635c07f37a</v>
    <v>pt-BR</v>
    <v>Map</v>
  </rv>
  <rv s="1">
    <fb>903357</fb>
    <v>10</v>
  </rv>
  <rv s="0">
    <v>536870912</v>
    <v>Cuiabá</v>
    <v>40ab2387-3bef-ed49-417a-241a85867199</v>
    <v>pt-BR</v>
    <v>Map</v>
  </rv>
  <rv s="2">
    <v>5</v>
    <v>8</v>
    <v>24</v>
    <v>7</v>
    <v>0</v>
    <v>Image of Mato Grosso</v>
  </rv>
  <rv s="3">
    <v>https://www.bing.com/search?q=Mato+Grosso&amp;form=skydnc</v>
    <v>Aprenda mais com Bing</v>
  </rv>
  <rv s="0">
    <v>805306368</v>
    <v>Mauro Mendes (Governador)</v>
    <v>89fde148-6595-30ce-b8c6-035fd8e99daf</v>
    <v>pt-BR</v>
    <v>Generic</v>
  </rv>
  <rv s="4">
    <v>5</v>
  </rv>
  <rv s="1">
    <fb>3344544</fb>
    <v>10</v>
  </rv>
  <rv s="5">
    <v>#VALUE!</v>
    <v>pt-BR</v>
    <v>af05c757-4d77-813e-b8eb-97635c07f37a</v>
    <v>536870912</v>
    <v>1</v>
    <v>26</v>
    <v>3</v>
    <v>4</v>
    <v>Mato Grosso</v>
    <v>6</v>
    <v>7</v>
    <v>Map</v>
    <v>8</v>
    <v>14</v>
    <v>BR-MT</v>
    <v>51</v>
    <v>52</v>
    <v>Mato Grosso is one of the states of Brazil, the third largest by area, located in the Central-West region. The state has 1.66% of the Brazilian population and is responsible for 1.9% of the Brazilian GDP.</v>
    <v>53</v>
    <v>54</v>
    <v>56</v>
    <v>52</v>
    <v>Mato Grosso</v>
    <v>7</v>
    <v>57</v>
    <v>Mato Grosso</v>
    <v>mdp/vdpid/20600</v>
  </rv>
  <rv s="0">
    <v>536870912</v>
    <v>Rio de Janeiro</v>
    <v>3f5a22fa-26bd-86f9-0345-3a6206e8aab5</v>
    <v>pt-BR</v>
    <v>Map</v>
  </rv>
  <rv s="1">
    <fb>43696.1</fb>
    <v>10</v>
  </rv>
  <rv s="0">
    <v>536870912</v>
    <v>Rio de Janeiro</v>
    <v>bd69fe3d-bddf-02b9-aeb0-0384ff4b73dd</v>
    <v>pt-BR</v>
    <v>Map</v>
  </rv>
  <rv s="2">
    <v>6</v>
    <v>8</v>
    <v>27</v>
    <v>7</v>
    <v>0</v>
    <v>Image of Rio de Janeiro</v>
  </rv>
  <rv s="3">
    <v>https://www.bing.com/search?q=Rio+de+Janeiro+estado&amp;form=skydnc</v>
    <v>Aprenda mais com Bing</v>
  </rv>
  <rv s="0">
    <v>805306368</v>
    <v>Cláudio Castro (Governador)</v>
    <v>4f6be35e-fc81-e7c7-4845-05268a59263a</v>
    <v>pt-BR</v>
    <v>Generic</v>
  </rv>
  <rv s="4">
    <v>6</v>
  </rv>
  <rv s="1">
    <fb>16718956</fb>
    <v>10</v>
  </rv>
  <rv s="5">
    <v>#VALUE!</v>
    <v>pt-BR</v>
    <v>3f5a22fa-26bd-86f9-0345-3a6206e8aab5</v>
    <v>536870912</v>
    <v>1</v>
    <v>29</v>
    <v>3</v>
    <v>4</v>
    <v>Rio de Janeiro</v>
    <v>6</v>
    <v>7</v>
    <v>Map</v>
    <v>8</v>
    <v>14</v>
    <v>BR-RJ</v>
    <v>60</v>
    <v>61</v>
    <v>Rio de Janeiro is one of the 27 federative units of Brazil. It has the second largest economy of Brazil, with the largest being that of the state of São Paulo. The state, which has 8.2% of the Brazilian population, is responsible for 9.2% of the ...</v>
    <v>62</v>
    <v>63</v>
    <v>65</v>
    <v>61</v>
    <v>Rio de Janeiro</v>
    <v>7</v>
    <v>66</v>
    <v>Rio de Janeiro</v>
    <v>mdp/vdpid/27818</v>
  </rv>
  <rv s="0">
    <v>536870912</v>
    <v>Rio Grande do Sul</v>
    <v>9644dbbf-be0c-de9c-a534-3d7ff4801a8b</v>
    <v>pt-BR</v>
    <v>Map</v>
  </rv>
  <rv s="1">
    <fb>281707.09999999998</fb>
    <v>10</v>
  </rv>
  <rv s="0">
    <v>536870912</v>
    <v>Porto Alegre</v>
    <v>59476ac7-9b13-46ab-560e-cdac4510fa7a</v>
    <v>pt-BR</v>
    <v>Map</v>
  </rv>
  <rv s="2">
    <v>7</v>
    <v>8</v>
    <v>30</v>
    <v>7</v>
    <v>0</v>
    <v>Image of Rio Grande do Sul</v>
  </rv>
  <rv s="3">
    <v>https://www.bing.com/search?q=Rio+Grande+do+Sul&amp;form=skydnc</v>
    <v>Aprenda mais com Bing</v>
  </rv>
  <rv s="0">
    <v>805306368</v>
    <v>Eduardo Leite (Governador)</v>
    <v>d1404a79-7938-b7c4-f205-661c23e903bb</v>
    <v>pt-BR</v>
    <v>Generic</v>
  </rv>
  <rv s="4">
    <v>7</v>
  </rv>
  <rv s="1">
    <fb>11322895</fb>
    <v>10</v>
  </rv>
  <rv s="5">
    <v>#VALUE!</v>
    <v>pt-BR</v>
    <v>9644dbbf-be0c-de9c-a534-3d7ff4801a8b</v>
    <v>536870912</v>
    <v>1</v>
    <v>32</v>
    <v>3</v>
    <v>4</v>
    <v>Rio Grande do Sul</v>
    <v>6</v>
    <v>7</v>
    <v>Map</v>
    <v>8</v>
    <v>14</v>
    <v>BR-RS</v>
    <v>69</v>
    <v>70</v>
    <v>Rio Grande do Sul is a state in the southern region of Brazil. It is the fifth-most populous state and the ninth-largest by area. Located in the southernmost part of the country, Rio Grande do Sul is bordered clockwise by Santa Catarina to the ...</v>
    <v>71</v>
    <v>72</v>
    <v>74</v>
    <v>70</v>
    <v>Rio Grande do Sul</v>
    <v>7</v>
    <v>75</v>
    <v>Rio Grande do Sul</v>
    <v>mdp/vdpid/27825</v>
  </rv>
  <rv s="0">
    <v>536870912</v>
    <v>Pará</v>
    <v>7a0db70a-73db-e83d-e548-6fab7a523b35</v>
    <v>pt-BR</v>
    <v>Map</v>
  </rv>
  <rv s="1">
    <fb>1245870.7</fb>
    <v>10</v>
  </rv>
  <rv s="0">
    <v>536870912</v>
    <v>Belém</v>
    <v>19b9814d-03b5-b9a5-2607-ca75413f8674</v>
    <v>pt-BR</v>
    <v>Map</v>
  </rv>
  <rv s="2">
    <v>8</v>
    <v>8</v>
    <v>33</v>
    <v>7</v>
    <v>0</v>
    <v>Image of Pará</v>
  </rv>
  <rv s="3">
    <v>https://www.bing.com/search?q=Par%c3%a1&amp;form=skydnc</v>
    <v>Aprenda mais com Bing</v>
  </rv>
  <rv s="0">
    <v>805306368</v>
    <v>Helder Barbalho (Governador)</v>
    <v>1323c458-fbb7-4141-9278-070cd6dc5c75</v>
    <v>pt-BR</v>
    <v>Generic</v>
  </rv>
  <rv s="4">
    <v>8</v>
  </rv>
  <rv s="1">
    <fb>8366628</fb>
    <v>10</v>
  </rv>
  <rv s="5">
    <v>#VALUE!</v>
    <v>pt-BR</v>
    <v>7a0db70a-73db-e83d-e548-6fab7a523b35</v>
    <v>536870912</v>
    <v>1</v>
    <v>35</v>
    <v>3</v>
    <v>4</v>
    <v>Pará</v>
    <v>6</v>
    <v>7</v>
    <v>Map</v>
    <v>8</v>
    <v>14</v>
    <v>BR-PA</v>
    <v>78</v>
    <v>79</v>
    <v>Pará is a state of Brazil, located in northern Brazil and traversed by the lower Amazon River. It borders the Brazilian states of Amapá, Maranhão, Tocantins, Mato Grosso, Amazonas and Roraima. To the northwest are the borders of Guyana and ...</v>
    <v>80</v>
    <v>81</v>
    <v>83</v>
    <v>79</v>
    <v>Pará</v>
    <v>7</v>
    <v>84</v>
    <v>Pará</v>
    <v>mdp/vdpid/25190</v>
  </rv>
  <rv s="0">
    <v>536870912</v>
    <v>Pernambuco</v>
    <v>5538aab1-15ae-294f-2c10-f5083201cca1</v>
    <v>pt-BR</v>
    <v>Map</v>
  </rv>
  <rv s="1">
    <fb>98937.8</fb>
    <v>10</v>
  </rv>
  <rv s="0">
    <v>536870912</v>
    <v>Recife</v>
    <v>56717c0d-ccb4-6a32-53ba-4a80ef2afa79</v>
    <v>pt-BR</v>
    <v>Map</v>
  </rv>
  <rv s="2">
    <v>9</v>
    <v>8</v>
    <v>36</v>
    <v>7</v>
    <v>0</v>
    <v>Image of Pernambuco</v>
  </rv>
  <rv s="3">
    <v>https://www.bing.com/search?q=Pernambuco&amp;form=skydnc</v>
    <v>Aprenda mais com Bing</v>
  </rv>
  <rv s="0">
    <v>805306368</v>
    <v>Raquel Lyra (Governador)</v>
    <v>296e2801-863f-736a-c819-215a140cdf8e</v>
    <v>pt-BR</v>
    <v>Generic</v>
  </rv>
  <rv s="4">
    <v>9</v>
  </rv>
  <rv s="1">
    <fb>9473266</fb>
    <v>10</v>
  </rv>
  <rv s="5">
    <v>#VALUE!</v>
    <v>pt-BR</v>
    <v>5538aab1-15ae-294f-2c10-f5083201cca1</v>
    <v>536870912</v>
    <v>1</v>
    <v>38</v>
    <v>3</v>
    <v>4</v>
    <v>Pernambuco</v>
    <v>6</v>
    <v>7</v>
    <v>Map</v>
    <v>8</v>
    <v>14</v>
    <v>BR-PE</v>
    <v>87</v>
    <v>88</v>
    <v>Pernambuco is a state of Brazil, located in the Northeast region of the country. With an estimated population of 9 million people as of 2022, it is the seventh-most populous state of Brazil and with around 98,067.877 km², it is the 19th-largest ...</v>
    <v>89</v>
    <v>90</v>
    <v>92</v>
    <v>88</v>
    <v>Pernambuco</v>
    <v>7</v>
    <v>93</v>
    <v>Pernambuco</v>
    <v>mdp/vdpid/25687</v>
  </rv>
</rvData>
</file>

<file path=xl/richData/rdrichvaluestructure.xml><?xml version="1.0" encoding="utf-8"?>
<rvStructures xmlns="http://schemas.microsoft.com/office/spreadsheetml/2017/richdata" count="6">
  <s t="_linkedentity2">
    <k n="%EntityServiceId" t="i"/>
    <k n="_DisplayString" t="s"/>
    <k n="%EntityId" t="s"/>
    <k n="%EntityCulture" t="s"/>
    <k n="_Icon" t="s"/>
  </s>
  <s t="_formattednumber">
    <k n="_Format" t="spb"/>
  </s>
  <s t="_webimage">
    <k n="WebImageIdentifier" t="i"/>
    <k n="_Provider" t="spb"/>
    <k n="Attribution" t="spb"/>
    <k n="CalcOrigin" t="i"/>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eviação" t="s"/>
    <k n="`Área" t="r"/>
    <k n="Capital/Maior Cidade" t="r"/>
    <k n="Descrição" t="s"/>
    <k n="Imagem" t="r"/>
    <k n="LearnMoreOnLink" t="r"/>
    <k n="Líder(es)" t="r"/>
    <k n="Maior cidade" t="r"/>
    <k n="Nome" t="s"/>
    <k n="País/região" t="r"/>
    <k n="População" t="r"/>
    <k n="UniqueName" t="s"/>
    <k n="VDPID/VSID" t="s"/>
  </s>
</rvStructures>
</file>

<file path=xl/richData/rdsupportingpropertybag.xml><?xml version="1.0" encoding="utf-8"?>
<supportingPropertyBags xmlns="http://schemas.microsoft.com/office/spreadsheetml/2017/richdata2">
  <spbArrays count="1">
    <a count="26">
      <v t="s">%EntityServiceId</v>
      <v t="s">%IsRefreshable</v>
      <v t="s">_CanonicalPropertyNames</v>
      <v t="s">%EntityCulture</v>
      <v t="s">%EntityId</v>
      <v t="s">_Icon</v>
      <v t="s">_Provider</v>
      <v t="s">_Attribution</v>
      <v t="s">_Display</v>
      <v t="s">Nome</v>
      <v t="s">_Format</v>
      <v t="s">Capital/Maior Cidade</v>
      <v t="s">Líder(es)</v>
      <v t="s">País/região</v>
      <v t="s">_SubLabel</v>
      <v t="s">População</v>
      <v t="s">`Área</v>
      <v t="s">Abreviação</v>
      <v t="s">Maior cidade</v>
      <v t="s">_Flags</v>
      <v t="s">VDPID/VSID</v>
      <v t="s">UniqueName</v>
      <v t="s">_DisplayString</v>
      <v t="s">LearnMoreOnLink</v>
      <v t="s">Imagem</v>
      <v t="s">Descrição</v>
    </a>
  </spbArrays>
  <spbData count="39">
    <spb s="0">
      <v xml:space="preserve">Wikipedia	</v>
      <v xml:space="preserve">CC BY-SA 3.0	</v>
      <v xml:space="preserve">https://en.wikipedia.org/wiki/S%C3%A3o_Paulo_(state)	</v>
      <v xml:space="preserve">https://creativecommons.org/licenses/by-sa/3.0	</v>
    </spb>
    <spb s="0">
      <v xml:space="preserve">Wikipedia	</v>
      <v xml:space="preserve">CC-BY-SA	</v>
      <v xml:space="preserve">http://en.wikipedia.org/wiki/São_Paulo_(state)	</v>
      <v xml:space="preserve">http://creativecommons.org/licenses/by-sa/3.0/	</v>
    </spb>
    <spb s="1">
      <v>0</v>
      <v>0</v>
      <v>0</v>
      <v>0</v>
      <v>1</v>
      <v>0</v>
      <v>0</v>
      <v>0</v>
      <v>0</v>
    </spb>
    <spb s="2">
      <v>Name</v>
      <v>Area</v>
      <v>Image</v>
      <v>Description</v>
      <v>Population</v>
      <v>Abbreviation</v>
      <v>UniqueName</v>
      <v>VDPID/VSID</v>
      <v>Country/region</v>
      <v>Largest city</v>
      <v>LearnMoreOnLink</v>
      <v>Capital/Major City</v>
    </spb>
    <spb s="3">
      <v>0</v>
      <v>Name</v>
      <v>LearnMoreOnLink</v>
    </spb>
    <spb s="4">
      <v>0</v>
      <v>0</v>
      <v>0</v>
    </spb>
    <spb s="5">
      <v>5</v>
      <v>5</v>
      <v>5</v>
    </spb>
    <spb s="6">
      <v>1</v>
      <v>2</v>
    </spb>
    <spb s="7">
      <v>https://www.bing.com</v>
      <v>https://www.bing.com/th?id=Ga%5Cbing_yt.png&amp;w=100&amp;h=40&amp;c=0&amp;pid=0.1</v>
      <v>Da plataforma Bing</v>
    </spb>
    <spb s="8">
      <v>km quadrado</v>
      <v>2018</v>
    </spb>
    <spb s="9">
      <v>3</v>
    </spb>
    <spb s="0">
      <v xml:space="preserve">Wikipedia	</v>
      <v xml:space="preserve">CC BY-SA 3.0	</v>
      <v xml:space="preserve">https://en.wikipedia.org/wiki/Minas_Gerais	</v>
      <v xml:space="preserve">https://creativecommons.org/licenses/by-sa/3.0	</v>
    </spb>
    <spb s="0">
      <v xml:space="preserve">Wikipedia	</v>
      <v xml:space="preserve">CC-BY-SA	</v>
      <v xml:space="preserve">http://en.wikipedia.org/wiki/Minas_Gerais	</v>
      <v xml:space="preserve">http://creativecommons.org/licenses/by-sa/3.0/	</v>
    </spb>
    <spb s="1">
      <v>11</v>
      <v>11</v>
      <v>11</v>
      <v>11</v>
      <v>12</v>
      <v>11</v>
      <v>11</v>
      <v>11</v>
      <v>11</v>
    </spb>
    <spb s="8">
      <v>km quadrado</v>
      <v>2017</v>
    </spb>
    <spb s="0">
      <v xml:space="preserve">Wikipedia	</v>
      <v xml:space="preserve">CC BY-SA 3.0	</v>
      <v xml:space="preserve">https://en.wikipedia.org/wiki/Goi%C3%A1s	</v>
      <v xml:space="preserve">https://creativecommons.org/licenses/by-sa/3.0	</v>
    </spb>
    <spb s="0">
      <v xml:space="preserve">Wikipedia	</v>
      <v xml:space="preserve">CC-BY-SA	</v>
      <v xml:space="preserve">http://en.wikipedia.org/wiki/Goiás	</v>
      <v xml:space="preserve">http://creativecommons.org/licenses/by-sa/3.0/	</v>
    </spb>
    <spb s="1">
      <v>15</v>
      <v>15</v>
      <v>15</v>
      <v>15</v>
      <v>16</v>
      <v>15</v>
      <v>15</v>
      <v>15</v>
      <v>15</v>
    </spb>
    <spb s="0">
      <v xml:space="preserve">Wikipedia	</v>
      <v xml:space="preserve">CC BY-SA 3.0	</v>
      <v xml:space="preserve">https://en.wikipedia.org/wiki/Santa_Catarina_(state)	</v>
      <v xml:space="preserve">https://creativecommons.org/licenses/by-sa/3.0	</v>
    </spb>
    <spb s="0">
      <v xml:space="preserve">Wikipedia	</v>
      <v xml:space="preserve">CC-BY-SA	</v>
      <v xml:space="preserve">http://en.wikipedia.org/wiki/Santa_Catarina_(state)	</v>
      <v xml:space="preserve">http://creativecommons.org/licenses/by-sa/3.0/	</v>
    </spb>
    <spb s="1">
      <v>18</v>
      <v>18</v>
      <v>18</v>
      <v>18</v>
      <v>19</v>
      <v>18</v>
      <v>18</v>
      <v>18</v>
      <v>18</v>
    </spb>
    <spb s="0">
      <v xml:space="preserve">Wikipedia	</v>
      <v xml:space="preserve">CC BY-SA 3.0	</v>
      <v xml:space="preserve">https://en.wikipedia.org/wiki/Federal_District_(Brazil)	</v>
      <v xml:space="preserve">https://creativecommons.org/licenses/by-sa/3.0	</v>
    </spb>
    <spb s="0">
      <v xml:space="preserve">Wikipedia	</v>
      <v xml:space="preserve">CC-BY-SA	</v>
      <v xml:space="preserve">http://en.wikipedia.org/wiki/Federal_District_(Brazil)	</v>
      <v xml:space="preserve">http://creativecommons.org/licenses/by-sa/3.0/	</v>
    </spb>
    <spb s="1">
      <v>21</v>
      <v>21</v>
      <v>21</v>
      <v>21</v>
      <v>22</v>
      <v>21</v>
      <v>21</v>
      <v>21</v>
      <v>21</v>
    </spb>
    <spb s="0">
      <v xml:space="preserve">Wikipedia	</v>
      <v xml:space="preserve">CC BY-SA 3.0	</v>
      <v xml:space="preserve">https://en.wikipedia.org/wiki/Mato_Grosso	</v>
      <v xml:space="preserve">https://creativecommons.org/licenses/by-sa/3.0	</v>
    </spb>
    <spb s="0">
      <v xml:space="preserve">Wikipedia	</v>
      <v xml:space="preserve">CC-BY-SA	</v>
      <v xml:space="preserve">http://en.wikipedia.org/wiki/Mato_Grosso	</v>
      <v xml:space="preserve">http://creativecommons.org/licenses/by-sa/3.0/	</v>
    </spb>
    <spb s="1">
      <v>24</v>
      <v>24</v>
      <v>24</v>
      <v>24</v>
      <v>25</v>
      <v>24</v>
      <v>24</v>
      <v>24</v>
      <v>24</v>
    </spb>
    <spb s="0">
      <v xml:space="preserve">Wikipedia	</v>
      <v xml:space="preserve">CC BY-SA 3.0	</v>
      <v xml:space="preserve">https://en.wikipedia.org/wiki/Rio_de_Janeiro_(state)	</v>
      <v xml:space="preserve">https://creativecommons.org/licenses/by-sa/3.0	</v>
    </spb>
    <spb s="0">
      <v xml:space="preserve">Wikipedia	</v>
      <v xml:space="preserve">CC-BY-SA	</v>
      <v xml:space="preserve">http://en.wikipedia.org/wiki/Rio_de_Janeiro_(state)	</v>
      <v xml:space="preserve">http://creativecommons.org/licenses/by-sa/3.0/	</v>
    </spb>
    <spb s="1">
      <v>27</v>
      <v>27</v>
      <v>27</v>
      <v>27</v>
      <v>28</v>
      <v>27</v>
      <v>27</v>
      <v>27</v>
      <v>27</v>
    </spb>
    <spb s="0">
      <v xml:space="preserve">Wikipedia	</v>
      <v xml:space="preserve">CC BY-SA 3.0	</v>
      <v xml:space="preserve">https://en.wikipedia.org/wiki/Rio_Grande_do_Sul	</v>
      <v xml:space="preserve">https://creativecommons.org/licenses/by-sa/3.0	</v>
    </spb>
    <spb s="0">
      <v xml:space="preserve">Wikipedia	</v>
      <v xml:space="preserve">CC-BY-SA	</v>
      <v xml:space="preserve">http://en.wikipedia.org/wiki/Rio_Grande_do_Sul	</v>
      <v xml:space="preserve">http://creativecommons.org/licenses/by-sa/3.0/	</v>
    </spb>
    <spb s="1">
      <v>30</v>
      <v>30</v>
      <v>30</v>
      <v>30</v>
      <v>31</v>
      <v>30</v>
      <v>30</v>
      <v>30</v>
      <v>30</v>
    </spb>
    <spb s="0">
      <v xml:space="preserve">Wikipedia	</v>
      <v xml:space="preserve">CC BY-SA 3.0	</v>
      <v xml:space="preserve">https://en.wikipedia.org/wiki/Par%C3%A1	</v>
      <v xml:space="preserve">https://creativecommons.org/licenses/by-sa/3.0	</v>
    </spb>
    <spb s="0">
      <v xml:space="preserve">Wikipedia	</v>
      <v xml:space="preserve">CC-BY-SA	</v>
      <v xml:space="preserve">http://en.wikipedia.org/wiki/Pará	</v>
      <v xml:space="preserve">http://creativecommons.org/licenses/by-sa/3.0/	</v>
    </spb>
    <spb s="1">
      <v>33</v>
      <v>33</v>
      <v>33</v>
      <v>33</v>
      <v>34</v>
      <v>33</v>
      <v>33</v>
      <v>33</v>
      <v>33</v>
    </spb>
    <spb s="0">
      <v xml:space="preserve">Wikipedia	</v>
      <v xml:space="preserve">CC BY-SA 3.0	</v>
      <v xml:space="preserve">https://en.wikipedia.org/wiki/Pernambuco	</v>
      <v xml:space="preserve">https://creativecommons.org/licenses/by-sa/3.0	</v>
    </spb>
    <spb s="0">
      <v xml:space="preserve">Wikipedia	</v>
      <v xml:space="preserve">CC-BY-SA	</v>
      <v xml:space="preserve">http://en.wikipedia.org/wiki/Pernambuco	</v>
      <v xml:space="preserve">http://creativecommons.org/licenses/by-sa/3.0/	</v>
    </spb>
    <spb s="1">
      <v>36</v>
      <v>36</v>
      <v>36</v>
      <v>36</v>
      <v>37</v>
      <v>36</v>
      <v>36</v>
      <v>36</v>
      <v>36</v>
    </spb>
  </spbData>
</supportingPropertyBags>
</file>

<file path=xl/richData/rdsupportingpropertybagstructure.xml><?xml version="1.0" encoding="utf-8"?>
<spbStructures xmlns="http://schemas.microsoft.com/office/spreadsheetml/2017/richdata2" count="10">
  <s>
    <k n="SourceText" t="s"/>
    <k n="LicenseText" t="s"/>
    <k n="SourceAddress" t="s"/>
    <k n="LicenseAddress" t="s"/>
  </s>
  <s>
    <k n="Nome" t="spb"/>
    <k n="`Área" t="spb"/>
    <k n="Descrição" t="spb"/>
    <k n="População" t="spb"/>
    <k n="Abreviação" t="spb"/>
    <k n="UniqueName" t="spb"/>
    <k n="País/região" t="spb"/>
    <k n="Maior cidade" t="spb"/>
    <k n="Capital/Maior Cidade" t="spb"/>
  </s>
  <s>
    <k n="Nome" t="s"/>
    <k n="Área" t="s"/>
    <k n="Imagem" t="s"/>
    <k n="Descrição" t="s"/>
    <k n="População" t="s"/>
    <k n="Abreviação" t="s"/>
    <k n="UniqueName" t="s"/>
    <k n="VDPID/VSID" t="s"/>
    <k n="País/região" t="s"/>
    <k n="Maior cidade" t="s"/>
    <k n="LearnMoreOnLink" t="s"/>
    <k n="Capital/Maior Cidade" t="s"/>
  </s>
  <s>
    <k n="^Order" t="spba"/>
    <k n="TitleProperty" t="s"/>
    <k n="SubTitleProperty" t="s"/>
  </s>
  <s>
    <k n="ShowInCardView" t="b"/>
    <k n="ShowInDotNotation" t="b"/>
    <k n="ShowInAutoComplete" t="b"/>
  </s>
  <s>
    <k n="UniqueName" t="spb"/>
    <k n="VDPID/VSID" t="spb"/>
    <k n="LearnMoreOnLink" t="spb"/>
  </s>
  <s>
    <k n="Nome" t="i"/>
    <k n="Imagem" t="i"/>
  </s>
  <s>
    <k n="link" t="s"/>
    <k n="logo" t="s"/>
    <k n="name" t="s"/>
  </s>
  <s>
    <k n="`Área" t="s"/>
    <k n="População" t="s"/>
  </s>
  <s>
    <k n="_Self" t="i"/>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TitleField" t="b"/>
    <rPr n="IsHeroField" t="b"/>
    <rPr n="NumberFormat" t="s"/>
  </richProperties>
  <richStyles>
    <rSty>
      <rpv i="0">1</rpv>
    </rSty>
    <rSty>
      <rpv i="1">1</rpv>
    </rSty>
    <rSty dxfid="0">
      <rpv i="2">#,##0</rpv>
    </rSty>
  </richStyles>
</richStyleSheet>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D377-9343-4997-9760-705C385694F2}">
  <dimension ref="A1:O33"/>
  <sheetViews>
    <sheetView showGridLines="0" tabSelected="1" zoomScale="90" zoomScaleNormal="90" workbookViewId="0">
      <selection activeCell="Q4" sqref="Q4"/>
    </sheetView>
  </sheetViews>
  <sheetFormatPr defaultColWidth="9.140625" defaultRowHeight="15"/>
  <cols>
    <col min="1" max="1" width="1.7109375" customWidth="1"/>
    <col min="2" max="14" width="9.140625" style="1"/>
    <col min="15" max="15" width="16.140625" style="1" customWidth="1"/>
    <col min="16" max="16384" width="9.140625" style="1"/>
  </cols>
  <sheetData>
    <row r="1" spans="1:15" ht="15.75">
      <c r="A1" s="4"/>
      <c r="B1" s="10"/>
    </row>
    <row r="2" spans="1:15" ht="15.75">
      <c r="A2" s="4"/>
      <c r="B2" s="10"/>
    </row>
    <row r="3" spans="1:15" ht="15.75">
      <c r="A3" s="4"/>
      <c r="B3" s="10"/>
    </row>
    <row r="4" spans="1:15" ht="15.75">
      <c r="A4" s="4"/>
      <c r="B4" s="10"/>
    </row>
    <row r="5" spans="1:15" ht="20.25">
      <c r="A5" s="4"/>
      <c r="B5" s="11" t="s">
        <v>19</v>
      </c>
    </row>
    <row r="6" spans="1:15" ht="15.75">
      <c r="A6" s="4"/>
      <c r="B6" s="10"/>
    </row>
    <row r="7" spans="1:15" ht="18">
      <c r="A7" s="4"/>
      <c r="B7" s="7" t="s">
        <v>18</v>
      </c>
    </row>
    <row r="8" spans="1:15" ht="6.95" customHeight="1">
      <c r="A8" s="4"/>
      <c r="B8" s="7"/>
    </row>
    <row r="9" spans="1:15" s="8" customFormat="1" ht="40.5" customHeight="1">
      <c r="A9" s="9"/>
      <c r="B9" s="64" t="s">
        <v>157</v>
      </c>
      <c r="C9" s="64"/>
      <c r="D9" s="64"/>
      <c r="E9" s="64"/>
      <c r="F9" s="64"/>
      <c r="G9" s="64"/>
      <c r="H9" s="64"/>
      <c r="I9" s="64"/>
      <c r="J9" s="64"/>
      <c r="K9" s="64"/>
      <c r="L9" s="64"/>
      <c r="M9" s="64"/>
      <c r="N9" s="64"/>
      <c r="O9" s="64"/>
    </row>
    <row r="10" spans="1:15" ht="12" customHeight="1">
      <c r="A10" s="4"/>
      <c r="B10" s="7"/>
    </row>
    <row r="11" spans="1:15" ht="21.75" customHeight="1">
      <c r="B11" s="7" t="s">
        <v>17</v>
      </c>
    </row>
    <row r="12" spans="1:15" ht="6.95" customHeight="1">
      <c r="A12" s="4"/>
      <c r="B12" s="7"/>
    </row>
    <row r="13" spans="1:15" ht="83.25" customHeight="1">
      <c r="B13" s="64" t="s">
        <v>16</v>
      </c>
      <c r="C13" s="64"/>
      <c r="D13" s="64"/>
      <c r="E13" s="64"/>
      <c r="F13" s="64"/>
      <c r="G13" s="64"/>
      <c r="H13" s="64"/>
      <c r="I13" s="64"/>
      <c r="J13" s="64"/>
      <c r="K13" s="64"/>
      <c r="L13" s="64"/>
      <c r="M13" s="64"/>
      <c r="N13" s="64"/>
      <c r="O13" s="64"/>
    </row>
    <row r="14" spans="1:15" ht="12" customHeight="1">
      <c r="A14" s="4"/>
      <c r="B14" s="7"/>
    </row>
    <row r="15" spans="1:15" ht="18">
      <c r="B15" s="7" t="s">
        <v>15</v>
      </c>
    </row>
    <row r="16" spans="1:15" ht="12" customHeight="1">
      <c r="A16" s="4"/>
      <c r="B16" s="7"/>
    </row>
    <row r="17" spans="1:15" ht="15.75">
      <c r="B17" s="3" t="s">
        <v>14</v>
      </c>
      <c r="E17" s="2" t="s">
        <v>13</v>
      </c>
    </row>
    <row r="18" spans="1:15" ht="12" customHeight="1">
      <c r="A18" s="4"/>
      <c r="B18" s="7"/>
    </row>
    <row r="19" spans="1:15" ht="15.75">
      <c r="B19" s="3" t="s">
        <v>12</v>
      </c>
      <c r="E19" s="2" t="s">
        <v>158</v>
      </c>
    </row>
    <row r="20" spans="1:15" ht="12" customHeight="1">
      <c r="A20" s="4"/>
      <c r="B20" s="7"/>
    </row>
    <row r="21" spans="1:15" ht="15.75">
      <c r="B21" s="3" t="s">
        <v>11</v>
      </c>
      <c r="E21" s="2" t="s">
        <v>159</v>
      </c>
    </row>
    <row r="22" spans="1:15" ht="12" customHeight="1">
      <c r="A22" s="4"/>
      <c r="B22" s="7"/>
    </row>
    <row r="23" spans="1:15" ht="28.5" customHeight="1">
      <c r="B23" s="6" t="s">
        <v>10</v>
      </c>
      <c r="C23" s="5"/>
      <c r="E23" s="64" t="s">
        <v>160</v>
      </c>
      <c r="F23" s="64"/>
      <c r="G23" s="64"/>
      <c r="H23" s="64"/>
      <c r="I23" s="64"/>
      <c r="J23" s="64"/>
      <c r="K23" s="64"/>
      <c r="L23" s="64"/>
      <c r="M23" s="64"/>
      <c r="N23" s="64"/>
      <c r="O23" s="64"/>
    </row>
    <row r="24" spans="1:15" ht="12" customHeight="1">
      <c r="A24" s="4"/>
      <c r="B24" s="7"/>
    </row>
    <row r="25" spans="1:15" ht="15.75">
      <c r="B25" s="3" t="s">
        <v>9</v>
      </c>
      <c r="E25" s="2" t="s">
        <v>8</v>
      </c>
    </row>
    <row r="26" spans="1:15" ht="12" customHeight="1">
      <c r="A26" s="4"/>
      <c r="B26" s="7"/>
    </row>
    <row r="27" spans="1:15" ht="15.75">
      <c r="B27" s="3" t="s">
        <v>7</v>
      </c>
      <c r="E27" s="2" t="s">
        <v>6</v>
      </c>
    </row>
    <row r="28" spans="1:15" ht="12" customHeight="1">
      <c r="A28" s="4"/>
      <c r="B28" s="7"/>
    </row>
    <row r="29" spans="1:15" ht="15.75">
      <c r="B29" s="3" t="s">
        <v>5</v>
      </c>
      <c r="E29" s="2" t="s">
        <v>4</v>
      </c>
    </row>
    <row r="30" spans="1:15" ht="12" customHeight="1">
      <c r="A30" s="4"/>
      <c r="B30" s="7"/>
    </row>
    <row r="31" spans="1:15" ht="15.75">
      <c r="A31" s="4"/>
      <c r="B31" s="3" t="s">
        <v>3</v>
      </c>
      <c r="E31" s="2" t="s">
        <v>2</v>
      </c>
    </row>
    <row r="32" spans="1:15" ht="12" customHeight="1">
      <c r="A32" s="4"/>
      <c r="B32" s="7"/>
    </row>
    <row r="33" spans="1:5" ht="15.75">
      <c r="A33" s="4"/>
      <c r="B33" s="3" t="s">
        <v>1</v>
      </c>
      <c r="E33" s="2" t="s">
        <v>0</v>
      </c>
    </row>
  </sheetData>
  <mergeCells count="3">
    <mergeCell ref="B9:O9"/>
    <mergeCell ref="B13:O13"/>
    <mergeCell ref="E23:O23"/>
  </mergeCells>
  <pageMargins left="0.7" right="0.7" top="0.75" bottom="0.75" header="0.3" footer="0.3"/>
  <pageSetup paperSize="9" scale="75"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90B82-00D2-49A5-82DE-9EBDDCF2B814}">
  <dimension ref="A1:T160"/>
  <sheetViews>
    <sheetView showGridLines="0" zoomScale="85" zoomScaleNormal="85" workbookViewId="0">
      <selection activeCell="M6" sqref="M6"/>
    </sheetView>
  </sheetViews>
  <sheetFormatPr defaultRowHeight="15"/>
  <cols>
    <col min="1" max="1" width="1.7109375" customWidth="1"/>
    <col min="2" max="2" width="8.7109375" customWidth="1"/>
    <col min="3" max="3" width="10.7109375" customWidth="1"/>
    <col min="4" max="4" width="11.28515625" customWidth="1"/>
    <col min="5" max="6" width="17.7109375" customWidth="1"/>
    <col min="7" max="10" width="10.7109375" customWidth="1"/>
    <col min="11" max="11" width="16.7109375" customWidth="1"/>
    <col min="12" max="16" width="11.28515625" customWidth="1"/>
    <col min="17" max="17" width="13.5703125" customWidth="1"/>
    <col min="18" max="18" width="85.28515625" customWidth="1"/>
    <col min="19" max="19" width="30.7109375" customWidth="1"/>
  </cols>
  <sheetData>
    <row r="1" spans="1:19" s="1" customFormat="1" ht="15.75">
      <c r="A1" s="4"/>
      <c r="B1" s="10"/>
    </row>
    <row r="2" spans="1:19" s="1" customFormat="1" ht="15.75">
      <c r="A2" s="4"/>
      <c r="B2" s="10"/>
    </row>
    <row r="3" spans="1:19" s="1" customFormat="1" ht="15.75">
      <c r="A3" s="4"/>
      <c r="B3" s="10"/>
    </row>
    <row r="4" spans="1:19" s="1" customFormat="1" ht="15.75">
      <c r="A4" s="4"/>
      <c r="B4" s="10"/>
    </row>
    <row r="5" spans="1:19" s="1" customFormat="1" ht="20.25">
      <c r="A5" s="4"/>
      <c r="B5" s="11" t="s">
        <v>19</v>
      </c>
    </row>
    <row r="6" spans="1:19" s="1" customFormat="1" ht="15.75">
      <c r="A6" s="4"/>
      <c r="B6" s="10"/>
    </row>
    <row r="7" spans="1:19" s="1" customFormat="1" ht="18">
      <c r="A7" s="4"/>
      <c r="B7" s="7" t="s">
        <v>161</v>
      </c>
    </row>
    <row r="8" spans="1:19" s="1" customFormat="1" ht="6.95" customHeight="1">
      <c r="A8" s="4"/>
      <c r="B8" s="7"/>
    </row>
    <row r="9" spans="1:19" ht="24.95" customHeight="1">
      <c r="A9" s="4"/>
      <c r="B9" s="23"/>
      <c r="C9" s="23" t="s">
        <v>136</v>
      </c>
      <c r="D9" s="23" t="s">
        <v>135</v>
      </c>
      <c r="E9" s="23" t="s">
        <v>86</v>
      </c>
      <c r="F9" s="23" t="s">
        <v>134</v>
      </c>
      <c r="G9" s="23" t="s">
        <v>133</v>
      </c>
      <c r="H9" s="23" t="s">
        <v>132</v>
      </c>
      <c r="I9" s="23" t="s">
        <v>131</v>
      </c>
      <c r="J9" s="23" t="s">
        <v>130</v>
      </c>
      <c r="K9" s="24" t="s">
        <v>129</v>
      </c>
      <c r="L9" s="23" t="s">
        <v>128</v>
      </c>
      <c r="M9" s="23" t="s">
        <v>127</v>
      </c>
      <c r="N9" s="23" t="s">
        <v>51</v>
      </c>
      <c r="O9" s="23" t="s">
        <v>47</v>
      </c>
      <c r="P9" s="23" t="s">
        <v>126</v>
      </c>
      <c r="Q9" s="23" t="s">
        <v>52</v>
      </c>
      <c r="R9" s="23" t="s">
        <v>163</v>
      </c>
      <c r="S9" s="23" t="s">
        <v>164</v>
      </c>
    </row>
    <row r="10" spans="1:19" ht="39.950000000000003" customHeight="1">
      <c r="A10" s="9"/>
      <c r="B10" s="25">
        <v>1</v>
      </c>
      <c r="C10" s="25" t="s">
        <v>95</v>
      </c>
      <c r="D10" s="25" t="s">
        <v>78</v>
      </c>
      <c r="E10" s="25" t="s">
        <v>124</v>
      </c>
      <c r="F10" s="25" t="s">
        <v>39</v>
      </c>
      <c r="G10" s="58" t="s">
        <v>93</v>
      </c>
      <c r="H10" s="58" t="s">
        <v>88</v>
      </c>
      <c r="I10" s="59">
        <v>9.1399999999999995E-2</v>
      </c>
      <c r="J10" s="59">
        <v>9.06E-2</v>
      </c>
      <c r="K10" s="60">
        <v>7926327</v>
      </c>
      <c r="L10" s="59">
        <v>7.5999999999999998E-2</v>
      </c>
      <c r="M10" s="27">
        <f>K10/SUM($K$10:$K$45)</f>
        <v>7.6012323998955592E-2</v>
      </c>
      <c r="N10" s="46">
        <v>3.5425036154117193</v>
      </c>
      <c r="O10" s="28">
        <v>0.44573643410852715</v>
      </c>
      <c r="P10" s="28" t="s">
        <v>29</v>
      </c>
      <c r="Q10" s="29">
        <v>48837</v>
      </c>
      <c r="R10" s="28" t="s">
        <v>169</v>
      </c>
      <c r="S10" s="28" t="s">
        <v>170</v>
      </c>
    </row>
    <row r="11" spans="1:19" ht="39.950000000000003" customHeight="1">
      <c r="A11" s="4"/>
      <c r="B11" s="30">
        <v>2</v>
      </c>
      <c r="C11" s="30" t="s">
        <v>95</v>
      </c>
      <c r="D11" s="30" t="s">
        <v>80</v>
      </c>
      <c r="E11" s="30" t="s">
        <v>98</v>
      </c>
      <c r="F11" s="25" t="s">
        <v>39</v>
      </c>
      <c r="G11" s="61" t="s">
        <v>93</v>
      </c>
      <c r="H11" s="61" t="s">
        <v>88</v>
      </c>
      <c r="I11" s="62">
        <v>9.8500000000000004E-2</v>
      </c>
      <c r="J11" s="62">
        <v>0.1174</v>
      </c>
      <c r="K11" s="63">
        <v>7486303</v>
      </c>
      <c r="L11" s="62">
        <v>7.1999999999999995E-2</v>
      </c>
      <c r="M11" s="27">
        <f t="shared" ref="M11:M38" si="0">K11/SUM($K$10:$K$45)</f>
        <v>7.1792557787529229E-2</v>
      </c>
      <c r="N11" s="46">
        <v>3.3224897693847146</v>
      </c>
      <c r="O11" s="28">
        <v>0.43</v>
      </c>
      <c r="P11" s="28" t="s">
        <v>34</v>
      </c>
      <c r="Q11" s="29">
        <v>48745</v>
      </c>
      <c r="R11" s="28" t="s">
        <v>165</v>
      </c>
      <c r="S11" s="28" t="s">
        <v>166</v>
      </c>
    </row>
    <row r="12" spans="1:19" ht="39.950000000000003" customHeight="1">
      <c r="B12" s="30">
        <v>3</v>
      </c>
      <c r="C12" s="30" t="s">
        <v>95</v>
      </c>
      <c r="D12" s="30" t="s">
        <v>79</v>
      </c>
      <c r="E12" s="30" t="s">
        <v>125</v>
      </c>
      <c r="F12" s="25" t="s">
        <v>44</v>
      </c>
      <c r="G12" s="61" t="s">
        <v>115</v>
      </c>
      <c r="H12" s="61" t="s">
        <v>88</v>
      </c>
      <c r="I12" s="62">
        <v>8.2500000000000004E-2</v>
      </c>
      <c r="J12" s="62">
        <v>9.7600000000000006E-2</v>
      </c>
      <c r="K12" s="63">
        <v>7301234</v>
      </c>
      <c r="L12" s="62">
        <v>7.0000000000000007E-2</v>
      </c>
      <c r="M12" s="27">
        <f t="shared" si="0"/>
        <v>7.0017772973558934E-2</v>
      </c>
      <c r="N12" s="46">
        <v>3.0556344451577631</v>
      </c>
      <c r="O12" s="28">
        <v>0.56999999999999995</v>
      </c>
      <c r="P12" s="28" t="s">
        <v>37</v>
      </c>
      <c r="Q12" s="29">
        <v>48466</v>
      </c>
      <c r="R12" s="28" t="s">
        <v>167</v>
      </c>
      <c r="S12" s="28" t="s">
        <v>168</v>
      </c>
    </row>
    <row r="13" spans="1:19" ht="39.950000000000003" customHeight="1">
      <c r="A13" s="4"/>
      <c r="B13" s="30">
        <v>4</v>
      </c>
      <c r="C13" s="30" t="s">
        <v>95</v>
      </c>
      <c r="D13" s="30" t="s">
        <v>77</v>
      </c>
      <c r="E13" s="30" t="s">
        <v>123</v>
      </c>
      <c r="F13" s="25" t="s">
        <v>36</v>
      </c>
      <c r="G13" s="61" t="s">
        <v>96</v>
      </c>
      <c r="H13" s="61" t="s">
        <v>88</v>
      </c>
      <c r="I13" s="62">
        <v>9.5399999999999999E-2</v>
      </c>
      <c r="J13" s="62">
        <v>8.3699999999999997E-2</v>
      </c>
      <c r="K13" s="63">
        <v>6669106</v>
      </c>
      <c r="L13" s="62">
        <v>6.4000000000000001E-2</v>
      </c>
      <c r="M13" s="27">
        <f t="shared" si="0"/>
        <v>6.3955757320557013E-2</v>
      </c>
      <c r="N13" s="46">
        <v>3.2103928552842746</v>
      </c>
      <c r="O13" s="28" t="s">
        <v>42</v>
      </c>
      <c r="P13" s="28" t="s">
        <v>28</v>
      </c>
      <c r="Q13" s="29">
        <v>48788</v>
      </c>
      <c r="R13" s="28" t="s">
        <v>171</v>
      </c>
      <c r="S13" s="28" t="s">
        <v>172</v>
      </c>
    </row>
    <row r="14" spans="1:19" ht="39.950000000000003" customHeight="1">
      <c r="B14" s="30">
        <v>5</v>
      </c>
      <c r="C14" s="30" t="s">
        <v>95</v>
      </c>
      <c r="D14" s="30" t="s">
        <v>76</v>
      </c>
      <c r="E14" s="30" t="s">
        <v>94</v>
      </c>
      <c r="F14" s="25" t="s">
        <v>44</v>
      </c>
      <c r="G14" s="61" t="s">
        <v>93</v>
      </c>
      <c r="H14" s="61" t="s">
        <v>88</v>
      </c>
      <c r="I14" s="62">
        <v>7.4999999999999997E-2</v>
      </c>
      <c r="J14" s="62">
        <v>9.06E-2</v>
      </c>
      <c r="K14" s="63">
        <v>5020066</v>
      </c>
      <c r="L14" s="62">
        <v>4.8000000000000001E-2</v>
      </c>
      <c r="M14" s="27">
        <f t="shared" si="0"/>
        <v>4.8141703375111949E-2</v>
      </c>
      <c r="N14" s="46">
        <v>3.2476955646464827</v>
      </c>
      <c r="O14" s="28">
        <v>0.27</v>
      </c>
      <c r="P14" s="28" t="s">
        <v>46</v>
      </c>
      <c r="Q14" s="29">
        <v>48197</v>
      </c>
      <c r="R14" s="28" t="s">
        <v>173</v>
      </c>
      <c r="S14" s="28" t="s">
        <v>168</v>
      </c>
    </row>
    <row r="15" spans="1:19" ht="39.950000000000003" customHeight="1">
      <c r="A15" s="4"/>
      <c r="B15" s="30">
        <v>6</v>
      </c>
      <c r="C15" s="30" t="s">
        <v>95</v>
      </c>
      <c r="D15" s="30" t="s">
        <v>75</v>
      </c>
      <c r="E15" s="30" t="s">
        <v>97</v>
      </c>
      <c r="F15" s="25" t="s">
        <v>36</v>
      </c>
      <c r="G15" s="61" t="s">
        <v>96</v>
      </c>
      <c r="H15" s="61" t="s">
        <v>88</v>
      </c>
      <c r="I15" s="62">
        <v>0.1085</v>
      </c>
      <c r="J15" s="62">
        <v>0.1171</v>
      </c>
      <c r="K15" s="63">
        <v>4678632</v>
      </c>
      <c r="L15" s="62">
        <v>4.4999999999999998E-2</v>
      </c>
      <c r="M15" s="27">
        <f t="shared" si="0"/>
        <v>4.4867400935626502E-2</v>
      </c>
      <c r="N15" s="46">
        <v>2.6420941635329438</v>
      </c>
      <c r="O15" s="28" t="s">
        <v>42</v>
      </c>
      <c r="P15" s="28" t="s">
        <v>37</v>
      </c>
      <c r="Q15" s="29">
        <v>48606</v>
      </c>
      <c r="R15" s="28" t="s">
        <v>174</v>
      </c>
      <c r="S15" s="28" t="s">
        <v>166</v>
      </c>
    </row>
    <row r="16" spans="1:19" ht="39.950000000000003" customHeight="1">
      <c r="B16" s="30">
        <v>7</v>
      </c>
      <c r="C16" s="30" t="s">
        <v>95</v>
      </c>
      <c r="D16" s="30" t="s">
        <v>74</v>
      </c>
      <c r="E16" s="30" t="s">
        <v>122</v>
      </c>
      <c r="F16" s="25" t="s">
        <v>27</v>
      </c>
      <c r="G16" s="61" t="s">
        <v>102</v>
      </c>
      <c r="H16" s="61" t="s">
        <v>88</v>
      </c>
      <c r="I16" s="62">
        <v>7.6799999999999993E-2</v>
      </c>
      <c r="J16" s="62">
        <v>4.9599999999999998E-2</v>
      </c>
      <c r="K16" s="63">
        <v>4223263</v>
      </c>
      <c r="L16" s="62">
        <v>4.1000000000000002E-2</v>
      </c>
      <c r="M16" s="27">
        <f t="shared" si="0"/>
        <v>4.0500478404285008E-2</v>
      </c>
      <c r="N16" s="46">
        <v>3.3421649503760129</v>
      </c>
      <c r="O16" s="28">
        <v>0.5</v>
      </c>
      <c r="P16" s="28" t="s">
        <v>37</v>
      </c>
      <c r="Q16" s="29">
        <v>48075</v>
      </c>
      <c r="R16" s="28" t="s">
        <v>175</v>
      </c>
      <c r="S16" s="28" t="s">
        <v>176</v>
      </c>
    </row>
    <row r="17" spans="1:19" ht="39.950000000000003" customHeight="1">
      <c r="A17" s="4"/>
      <c r="B17" s="30">
        <v>8</v>
      </c>
      <c r="C17" s="30" t="s">
        <v>95</v>
      </c>
      <c r="D17" s="30" t="s">
        <v>73</v>
      </c>
      <c r="E17" s="30" t="s">
        <v>121</v>
      </c>
      <c r="F17" s="25" t="s">
        <v>44</v>
      </c>
      <c r="G17" s="61" t="s">
        <v>102</v>
      </c>
      <c r="H17" s="61" t="s">
        <v>88</v>
      </c>
      <c r="I17" s="62">
        <v>8.6999999999999994E-2</v>
      </c>
      <c r="J17" s="62">
        <v>0.1087</v>
      </c>
      <c r="K17" s="63">
        <v>4079504</v>
      </c>
      <c r="L17" s="62">
        <v>3.9E-2</v>
      </c>
      <c r="M17" s="27">
        <f t="shared" si="0"/>
        <v>3.9121850486743145E-2</v>
      </c>
      <c r="N17" s="46">
        <v>6.1755441765245216</v>
      </c>
      <c r="O17" s="28">
        <v>0.38</v>
      </c>
      <c r="P17" s="28" t="s">
        <v>46</v>
      </c>
      <c r="Q17" s="29">
        <v>50789</v>
      </c>
      <c r="R17" s="28" t="s">
        <v>177</v>
      </c>
      <c r="S17" s="28" t="s">
        <v>178</v>
      </c>
    </row>
    <row r="18" spans="1:19" ht="39.950000000000003" customHeight="1">
      <c r="B18" s="30">
        <v>9</v>
      </c>
      <c r="C18" s="30" t="s">
        <v>95</v>
      </c>
      <c r="D18" s="30" t="s">
        <v>205</v>
      </c>
      <c r="E18" s="30" t="s">
        <v>206</v>
      </c>
      <c r="F18" s="25" t="s">
        <v>33</v>
      </c>
      <c r="G18" s="61" t="s">
        <v>93</v>
      </c>
      <c r="H18" s="61" t="s">
        <v>88</v>
      </c>
      <c r="I18" s="62">
        <v>0.105</v>
      </c>
      <c r="J18" s="62">
        <v>0.13830000000000001</v>
      </c>
      <c r="K18" s="63">
        <v>3976603</v>
      </c>
      <c r="L18" s="62">
        <v>3.7999999999999999E-2</v>
      </c>
      <c r="M18" s="27">
        <f t="shared" si="0"/>
        <v>3.8135044851318751E-2</v>
      </c>
      <c r="N18" s="46">
        <v>1.821743599086461</v>
      </c>
      <c r="O18" s="28">
        <v>0.47</v>
      </c>
      <c r="P18" s="28" t="s">
        <v>37</v>
      </c>
      <c r="Q18" s="29">
        <v>46384</v>
      </c>
      <c r="R18" s="28" t="s">
        <v>208</v>
      </c>
      <c r="S18" s="28" t="s">
        <v>166</v>
      </c>
    </row>
    <row r="19" spans="1:19" ht="39.950000000000003" customHeight="1">
      <c r="A19" s="4"/>
      <c r="B19" s="30">
        <v>10</v>
      </c>
      <c r="C19" s="30" t="s">
        <v>95</v>
      </c>
      <c r="D19" s="30" t="s">
        <v>72</v>
      </c>
      <c r="E19" s="30" t="s">
        <v>120</v>
      </c>
      <c r="F19" s="25" t="s">
        <v>30</v>
      </c>
      <c r="G19" s="61" t="s">
        <v>99</v>
      </c>
      <c r="H19" s="61" t="s">
        <v>88</v>
      </c>
      <c r="I19" s="62">
        <v>0.12</v>
      </c>
      <c r="J19" s="62">
        <v>0.1196</v>
      </c>
      <c r="K19" s="63">
        <v>3757083</v>
      </c>
      <c r="L19" s="62">
        <v>3.5999999999999997E-2</v>
      </c>
      <c r="M19" s="27">
        <f t="shared" si="0"/>
        <v>3.6029879954103339E-2</v>
      </c>
      <c r="N19" s="46">
        <v>3.0587388795226396</v>
      </c>
      <c r="O19" s="28">
        <v>0.72013778349874746</v>
      </c>
      <c r="P19" s="28" t="s">
        <v>46</v>
      </c>
      <c r="Q19" s="29">
        <v>48085</v>
      </c>
      <c r="R19" s="28" t="s">
        <v>179</v>
      </c>
      <c r="S19" s="28" t="s">
        <v>166</v>
      </c>
    </row>
    <row r="20" spans="1:19" ht="39.950000000000003" customHeight="1">
      <c r="B20" s="30">
        <v>11</v>
      </c>
      <c r="C20" s="30" t="s">
        <v>95</v>
      </c>
      <c r="D20" s="30" t="s">
        <v>209</v>
      </c>
      <c r="E20" s="30" t="s">
        <v>210</v>
      </c>
      <c r="F20" s="25" t="s">
        <v>33</v>
      </c>
      <c r="G20" s="61" t="s">
        <v>96</v>
      </c>
      <c r="H20" s="61" t="s">
        <v>108</v>
      </c>
      <c r="I20" s="62">
        <v>4.4999999999999998E-2</v>
      </c>
      <c r="J20" s="62">
        <v>4.4699999999999997E-2</v>
      </c>
      <c r="K20" s="63">
        <v>3342476</v>
      </c>
      <c r="L20" s="62">
        <v>3.2000000000000001E-2</v>
      </c>
      <c r="M20" s="27">
        <f t="shared" si="0"/>
        <v>3.2053859078830974E-2</v>
      </c>
      <c r="N20" s="46">
        <v>1.8520218868183049</v>
      </c>
      <c r="O20" s="28">
        <v>0.47</v>
      </c>
      <c r="P20" s="28" t="s">
        <v>20</v>
      </c>
      <c r="Q20" s="29">
        <v>47085</v>
      </c>
      <c r="R20" s="28" t="s">
        <v>211</v>
      </c>
      <c r="S20" s="28" t="s">
        <v>166</v>
      </c>
    </row>
    <row r="21" spans="1:19" ht="39.950000000000003" customHeight="1">
      <c r="A21" s="4"/>
      <c r="B21" s="30">
        <v>12</v>
      </c>
      <c r="C21" s="30" t="s">
        <v>95</v>
      </c>
      <c r="D21" s="30" t="s">
        <v>69</v>
      </c>
      <c r="E21" s="30" t="s">
        <v>117</v>
      </c>
      <c r="F21" s="25" t="s">
        <v>33</v>
      </c>
      <c r="G21" s="61" t="s">
        <v>110</v>
      </c>
      <c r="H21" s="61" t="s">
        <v>88</v>
      </c>
      <c r="I21" s="62">
        <v>0.10340000000000001</v>
      </c>
      <c r="J21" s="62">
        <v>0.12280000000000001</v>
      </c>
      <c r="K21" s="63">
        <v>3064473</v>
      </c>
      <c r="L21" s="62">
        <v>2.9000000000000001E-2</v>
      </c>
      <c r="M21" s="27">
        <f t="shared" si="0"/>
        <v>2.9387850710934766E-2</v>
      </c>
      <c r="N21" s="46">
        <v>2.545934696460975</v>
      </c>
      <c r="O21" s="28">
        <v>0.71</v>
      </c>
      <c r="P21" s="28" t="s">
        <v>46</v>
      </c>
      <c r="Q21" s="29">
        <v>46619</v>
      </c>
      <c r="R21" s="28" t="s">
        <v>182</v>
      </c>
      <c r="S21" s="28" t="s">
        <v>166</v>
      </c>
    </row>
    <row r="22" spans="1:19" ht="39.950000000000003" customHeight="1">
      <c r="B22" s="30">
        <v>13</v>
      </c>
      <c r="C22" s="30" t="s">
        <v>95</v>
      </c>
      <c r="D22" s="30" t="s">
        <v>70</v>
      </c>
      <c r="E22" s="30" t="s">
        <v>118</v>
      </c>
      <c r="F22" s="25" t="s">
        <v>36</v>
      </c>
      <c r="G22" s="61" t="s">
        <v>102</v>
      </c>
      <c r="H22" s="61" t="s">
        <v>88</v>
      </c>
      <c r="I22" s="62">
        <v>0.11</v>
      </c>
      <c r="J22" s="62">
        <v>0.11700000000000001</v>
      </c>
      <c r="K22" s="63">
        <v>2948619</v>
      </c>
      <c r="L22" s="62">
        <v>2.8000000000000001E-2</v>
      </c>
      <c r="M22" s="27">
        <f t="shared" si="0"/>
        <v>2.8276827687966497E-2</v>
      </c>
      <c r="N22" s="46">
        <v>3.4610703265032607</v>
      </c>
      <c r="O22" s="28" t="s">
        <v>42</v>
      </c>
      <c r="P22" s="28" t="s">
        <v>26</v>
      </c>
      <c r="Q22" s="29">
        <v>48542</v>
      </c>
      <c r="R22" s="28" t="s">
        <v>181</v>
      </c>
      <c r="S22" s="28" t="s">
        <v>166</v>
      </c>
    </row>
    <row r="23" spans="1:19" ht="39.950000000000003" customHeight="1">
      <c r="A23" s="4"/>
      <c r="B23" s="30">
        <v>14</v>
      </c>
      <c r="C23" s="30" t="s">
        <v>95</v>
      </c>
      <c r="D23" s="30" t="s">
        <v>213</v>
      </c>
      <c r="E23" s="30" t="s">
        <v>214</v>
      </c>
      <c r="F23" s="25" t="s">
        <v>39</v>
      </c>
      <c r="G23" s="61" t="s">
        <v>96</v>
      </c>
      <c r="H23" s="61" t="s">
        <v>217</v>
      </c>
      <c r="I23" s="62">
        <v>0.18779999999999999</v>
      </c>
      <c r="J23" s="62">
        <v>0.1678</v>
      </c>
      <c r="K23" s="63">
        <v>2564285</v>
      </c>
      <c r="L23" s="62">
        <v>2.5000000000000001E-2</v>
      </c>
      <c r="M23" s="27">
        <f t="shared" si="0"/>
        <v>2.4591120483126904E-2</v>
      </c>
      <c r="N23" s="46">
        <v>2.4429928486815999</v>
      </c>
      <c r="O23" s="28">
        <v>0.75</v>
      </c>
      <c r="P23" s="28" t="s">
        <v>29</v>
      </c>
      <c r="Q23" s="29">
        <v>46840</v>
      </c>
      <c r="R23" s="28" t="s">
        <v>223</v>
      </c>
      <c r="S23" s="28" t="s">
        <v>176</v>
      </c>
    </row>
    <row r="24" spans="1:19" ht="39.950000000000003" customHeight="1">
      <c r="B24" s="30">
        <v>15</v>
      </c>
      <c r="C24" s="30" t="s">
        <v>95</v>
      </c>
      <c r="D24" s="30" t="s">
        <v>67</v>
      </c>
      <c r="E24" s="30" t="s">
        <v>114</v>
      </c>
      <c r="F24" s="25" t="s">
        <v>44</v>
      </c>
      <c r="G24" s="61" t="s">
        <v>101</v>
      </c>
      <c r="H24" s="61" t="s">
        <v>88</v>
      </c>
      <c r="I24" s="62">
        <v>5.9700000000000003E-2</v>
      </c>
      <c r="J24" s="62">
        <v>8.0100000000000005E-2</v>
      </c>
      <c r="K24" s="63">
        <v>2479760</v>
      </c>
      <c r="L24" s="62">
        <v>2.4E-2</v>
      </c>
      <c r="M24" s="27">
        <f t="shared" si="0"/>
        <v>2.3780538017123203E-2</v>
      </c>
      <c r="N24" s="46">
        <v>5.3549789656149995</v>
      </c>
      <c r="O24" s="28">
        <v>0.76986912663199547</v>
      </c>
      <c r="P24" s="28" t="s">
        <v>22</v>
      </c>
      <c r="Q24" s="29">
        <v>50019</v>
      </c>
      <c r="R24" s="28" t="s">
        <v>185</v>
      </c>
      <c r="S24" s="28" t="s">
        <v>183</v>
      </c>
    </row>
    <row r="25" spans="1:19" ht="39.950000000000003" customHeight="1">
      <c r="A25" s="4"/>
      <c r="B25" s="30">
        <v>16</v>
      </c>
      <c r="C25" s="30" t="s">
        <v>95</v>
      </c>
      <c r="D25" s="30" t="s">
        <v>65</v>
      </c>
      <c r="E25" s="30" t="s">
        <v>112</v>
      </c>
      <c r="F25" s="25" t="s">
        <v>21</v>
      </c>
      <c r="G25" s="61" t="s">
        <v>93</v>
      </c>
      <c r="H25" s="61" t="s">
        <v>88</v>
      </c>
      <c r="I25" s="62">
        <v>7.5399999999999995E-2</v>
      </c>
      <c r="J25" s="62">
        <v>9.4299999999999995E-2</v>
      </c>
      <c r="K25" s="63">
        <v>2437845</v>
      </c>
      <c r="L25" s="62">
        <v>2.3E-2</v>
      </c>
      <c r="M25" s="27">
        <f t="shared" si="0"/>
        <v>2.3378579258619268E-2</v>
      </c>
      <c r="N25" s="46">
        <v>6.5048566249991557</v>
      </c>
      <c r="O25" s="28">
        <v>0.71</v>
      </c>
      <c r="P25" s="28" t="s">
        <v>42</v>
      </c>
      <c r="Q25" s="29">
        <v>51454</v>
      </c>
      <c r="R25" s="28" t="s">
        <v>187</v>
      </c>
      <c r="S25" s="28" t="s">
        <v>188</v>
      </c>
    </row>
    <row r="26" spans="1:19" ht="39.950000000000003" customHeight="1">
      <c r="B26" s="30">
        <v>17</v>
      </c>
      <c r="C26" s="30" t="s">
        <v>95</v>
      </c>
      <c r="D26" s="30" t="s">
        <v>68</v>
      </c>
      <c r="E26" s="30" t="s">
        <v>116</v>
      </c>
      <c r="F26" s="25" t="s">
        <v>44</v>
      </c>
      <c r="G26" s="61" t="s">
        <v>115</v>
      </c>
      <c r="H26" s="61" t="s">
        <v>88</v>
      </c>
      <c r="I26" s="62">
        <v>5.7000000000000002E-2</v>
      </c>
      <c r="J26" s="62">
        <v>7.6399999999999996E-2</v>
      </c>
      <c r="K26" s="63">
        <v>2413673</v>
      </c>
      <c r="L26" s="62">
        <v>2.3E-2</v>
      </c>
      <c r="M26" s="27">
        <f t="shared" si="0"/>
        <v>2.3146773291529751E-2</v>
      </c>
      <c r="N26" s="46">
        <v>7.0789974038874597</v>
      </c>
      <c r="O26" s="28">
        <v>0.60499999999999998</v>
      </c>
      <c r="P26" s="28" t="s">
        <v>23</v>
      </c>
      <c r="Q26" s="29">
        <v>51702</v>
      </c>
      <c r="R26" s="28" t="s">
        <v>184</v>
      </c>
      <c r="S26" s="28" t="s">
        <v>170</v>
      </c>
    </row>
    <row r="27" spans="1:19" ht="39.950000000000003" customHeight="1">
      <c r="A27" s="4"/>
      <c r="B27" s="30">
        <v>18</v>
      </c>
      <c r="C27" s="30" t="s">
        <v>95</v>
      </c>
      <c r="D27" s="30" t="s">
        <v>66</v>
      </c>
      <c r="E27" s="30" t="s">
        <v>113</v>
      </c>
      <c r="F27" s="25" t="s">
        <v>33</v>
      </c>
      <c r="G27" s="61" t="s">
        <v>93</v>
      </c>
      <c r="H27" s="61" t="s">
        <v>108</v>
      </c>
      <c r="I27" s="62">
        <v>6.8000000000000005E-2</v>
      </c>
      <c r="J27" s="62">
        <v>6.8000000000000005E-2</v>
      </c>
      <c r="K27" s="63">
        <v>2367726</v>
      </c>
      <c r="L27" s="62">
        <v>2.3E-2</v>
      </c>
      <c r="M27" s="27">
        <f t="shared" si="0"/>
        <v>2.2706148238995329E-2</v>
      </c>
      <c r="N27" s="46">
        <v>1.3800151497554809</v>
      </c>
      <c r="O27" s="28">
        <v>0.47458892159751703</v>
      </c>
      <c r="P27" s="28" t="s">
        <v>31</v>
      </c>
      <c r="Q27" s="29">
        <v>46225</v>
      </c>
      <c r="R27" s="28" t="s">
        <v>186</v>
      </c>
      <c r="S27" s="28" t="s">
        <v>166</v>
      </c>
    </row>
    <row r="28" spans="1:19" ht="39.950000000000003" customHeight="1">
      <c r="B28" s="30">
        <v>19</v>
      </c>
      <c r="C28" s="30" t="s">
        <v>95</v>
      </c>
      <c r="D28" s="30" t="s">
        <v>215</v>
      </c>
      <c r="E28" s="30" t="s">
        <v>216</v>
      </c>
      <c r="F28" s="25" t="s">
        <v>30</v>
      </c>
      <c r="G28" s="61" t="s">
        <v>102</v>
      </c>
      <c r="H28" s="61" t="s">
        <v>88</v>
      </c>
      <c r="I28" s="62">
        <v>0.1061</v>
      </c>
      <c r="J28" s="62">
        <v>9.8500000000000004E-2</v>
      </c>
      <c r="K28" s="63">
        <v>2362565</v>
      </c>
      <c r="L28" s="62">
        <v>2.3E-2</v>
      </c>
      <c r="M28" s="27">
        <f t="shared" si="0"/>
        <v>2.2656654999042118E-2</v>
      </c>
      <c r="N28" s="46">
        <v>4.6189245655323257</v>
      </c>
      <c r="O28" s="28">
        <v>0.66225165562913912</v>
      </c>
      <c r="P28" s="28" t="s">
        <v>42</v>
      </c>
      <c r="Q28" s="29">
        <v>49667</v>
      </c>
      <c r="R28" s="28" t="s">
        <v>224</v>
      </c>
      <c r="S28" s="28" t="s">
        <v>192</v>
      </c>
    </row>
    <row r="29" spans="1:19" ht="39.950000000000003" customHeight="1">
      <c r="A29" s="4"/>
      <c r="B29" s="30">
        <v>20</v>
      </c>
      <c r="C29" s="30" t="s">
        <v>95</v>
      </c>
      <c r="D29" s="30" t="s">
        <v>71</v>
      </c>
      <c r="E29" s="30" t="s">
        <v>119</v>
      </c>
      <c r="F29" s="25" t="s">
        <v>30</v>
      </c>
      <c r="G29" s="61" t="s">
        <v>93</v>
      </c>
      <c r="H29" s="61" t="s">
        <v>88</v>
      </c>
      <c r="I29" s="62">
        <v>9.5000000000000001E-2</v>
      </c>
      <c r="J29" s="62">
        <v>0.1191</v>
      </c>
      <c r="K29" s="63">
        <v>2329540</v>
      </c>
      <c r="L29" s="62">
        <v>2.1999999999999999E-2</v>
      </c>
      <c r="M29" s="27">
        <f t="shared" si="0"/>
        <v>2.2339950048556791E-2</v>
      </c>
      <c r="N29" s="46">
        <v>2.4647380581602647</v>
      </c>
      <c r="O29" s="28">
        <v>0.43103448275862066</v>
      </c>
      <c r="P29" s="28" t="s">
        <v>42</v>
      </c>
      <c r="Q29" s="29">
        <v>48689</v>
      </c>
      <c r="R29" s="28" t="s">
        <v>180</v>
      </c>
      <c r="S29" s="28" t="s">
        <v>172</v>
      </c>
    </row>
    <row r="30" spans="1:19" ht="39.950000000000003" customHeight="1">
      <c r="B30" s="30">
        <v>21</v>
      </c>
      <c r="C30" s="30" t="s">
        <v>95</v>
      </c>
      <c r="D30" s="30" t="s">
        <v>63</v>
      </c>
      <c r="E30" s="30" t="s">
        <v>109</v>
      </c>
      <c r="F30" s="25" t="s">
        <v>30</v>
      </c>
      <c r="G30" s="61" t="s">
        <v>93</v>
      </c>
      <c r="H30" s="61" t="s">
        <v>108</v>
      </c>
      <c r="I30" s="62">
        <v>4.3900000000000002E-2</v>
      </c>
      <c r="J30" s="62">
        <v>3.7499999999999999E-2</v>
      </c>
      <c r="K30" s="63">
        <v>2035796</v>
      </c>
      <c r="L30" s="62">
        <v>0.02</v>
      </c>
      <c r="M30" s="27">
        <f t="shared" si="0"/>
        <v>1.9522987778296023E-2</v>
      </c>
      <c r="N30" s="46">
        <v>2.3414923798271201</v>
      </c>
      <c r="O30" s="28">
        <v>0.54207428997788365</v>
      </c>
      <c r="P30" s="28" t="s">
        <v>46</v>
      </c>
      <c r="Q30" s="29">
        <v>47597</v>
      </c>
      <c r="R30" s="28" t="s">
        <v>191</v>
      </c>
      <c r="S30" s="28" t="s">
        <v>192</v>
      </c>
    </row>
    <row r="31" spans="1:19" ht="39.950000000000003" customHeight="1">
      <c r="A31" s="4"/>
      <c r="B31" s="30">
        <v>22</v>
      </c>
      <c r="C31" s="30" t="s">
        <v>95</v>
      </c>
      <c r="D31" s="30" t="s">
        <v>61</v>
      </c>
      <c r="E31" s="30" t="s">
        <v>106</v>
      </c>
      <c r="F31" s="25" t="s">
        <v>39</v>
      </c>
      <c r="G31" s="61" t="s">
        <v>102</v>
      </c>
      <c r="H31" s="61" t="s">
        <v>88</v>
      </c>
      <c r="I31" s="62">
        <v>7.4999999999999997E-2</v>
      </c>
      <c r="J31" s="62">
        <v>0.1024</v>
      </c>
      <c r="K31" s="63">
        <v>1823251</v>
      </c>
      <c r="L31" s="62">
        <v>1.7000000000000001E-2</v>
      </c>
      <c r="M31" s="27">
        <f t="shared" si="0"/>
        <v>1.7484712117405675E-2</v>
      </c>
      <c r="N31" s="46">
        <v>3.6258344905269819</v>
      </c>
      <c r="O31" s="28">
        <v>0.55100000000000005</v>
      </c>
      <c r="P31" s="28" t="s">
        <v>46</v>
      </c>
      <c r="Q31" s="29">
        <v>48534</v>
      </c>
      <c r="R31" s="28" t="s">
        <v>195</v>
      </c>
      <c r="S31" s="28" t="s">
        <v>196</v>
      </c>
    </row>
    <row r="32" spans="1:19" ht="39.950000000000003" customHeight="1">
      <c r="A32" s="4"/>
      <c r="B32" s="30">
        <v>23</v>
      </c>
      <c r="C32" s="30" t="s">
        <v>95</v>
      </c>
      <c r="D32" s="30" t="s">
        <v>62</v>
      </c>
      <c r="E32" s="30" t="s">
        <v>107</v>
      </c>
      <c r="F32" s="25" t="s">
        <v>21</v>
      </c>
      <c r="G32" s="61" t="s">
        <v>102</v>
      </c>
      <c r="H32" s="61" t="s">
        <v>88</v>
      </c>
      <c r="I32" s="62">
        <v>7.3599999999999999E-2</v>
      </c>
      <c r="J32" s="62">
        <v>0.12570000000000001</v>
      </c>
      <c r="K32" s="63">
        <v>1726677</v>
      </c>
      <c r="L32" s="62">
        <v>1.7000000000000001E-2</v>
      </c>
      <c r="M32" s="27">
        <f t="shared" si="0"/>
        <v>1.6558581492480014E-2</v>
      </c>
      <c r="N32" s="46">
        <v>1.3264012000500254</v>
      </c>
      <c r="O32" s="28" t="s">
        <v>42</v>
      </c>
      <c r="P32" s="28" t="s">
        <v>42</v>
      </c>
      <c r="Q32" s="29">
        <v>46615</v>
      </c>
      <c r="R32" s="28" t="s">
        <v>193</v>
      </c>
      <c r="S32" s="28" t="s">
        <v>194</v>
      </c>
    </row>
    <row r="33" spans="1:19" ht="39.950000000000003" customHeight="1">
      <c r="A33" s="4"/>
      <c r="B33" s="30">
        <v>24</v>
      </c>
      <c r="C33" s="30" t="s">
        <v>95</v>
      </c>
      <c r="D33" s="30" t="s">
        <v>60</v>
      </c>
      <c r="E33" s="30" t="s">
        <v>105</v>
      </c>
      <c r="F33" s="25" t="s">
        <v>33</v>
      </c>
      <c r="G33" s="61" t="s">
        <v>99</v>
      </c>
      <c r="H33" s="61" t="s">
        <v>88</v>
      </c>
      <c r="I33" s="62">
        <v>6.5000000000000002E-2</v>
      </c>
      <c r="J33" s="62">
        <v>8.5999999999999993E-2</v>
      </c>
      <c r="K33" s="63">
        <v>1602044</v>
      </c>
      <c r="L33" s="62">
        <v>1.4999999999999999E-2</v>
      </c>
      <c r="M33" s="27">
        <f t="shared" si="0"/>
        <v>1.5363369135361538E-2</v>
      </c>
      <c r="N33" s="46">
        <v>3.933666569329235</v>
      </c>
      <c r="O33" s="28">
        <v>0.75</v>
      </c>
      <c r="P33" s="28" t="s">
        <v>46</v>
      </c>
      <c r="Q33" s="29">
        <v>49836</v>
      </c>
      <c r="R33" s="28" t="s">
        <v>197</v>
      </c>
      <c r="S33" s="28" t="s">
        <v>198</v>
      </c>
    </row>
    <row r="34" spans="1:19" ht="45" customHeight="1">
      <c r="A34" s="4"/>
      <c r="B34" s="30">
        <v>25</v>
      </c>
      <c r="C34" s="30" t="s">
        <v>95</v>
      </c>
      <c r="D34" s="30" t="s">
        <v>54</v>
      </c>
      <c r="E34" s="30" t="s">
        <v>94</v>
      </c>
      <c r="F34" s="25" t="s">
        <v>44</v>
      </c>
      <c r="G34" s="61" t="s">
        <v>93</v>
      </c>
      <c r="H34" s="61" t="s">
        <v>88</v>
      </c>
      <c r="I34" s="62">
        <v>7.4999999999999997E-2</v>
      </c>
      <c r="J34" s="62">
        <v>9.06E-2</v>
      </c>
      <c r="K34" s="63">
        <v>1368017</v>
      </c>
      <c r="L34" s="62">
        <v>1.2999999999999999E-2</v>
      </c>
      <c r="M34" s="27">
        <f t="shared" si="0"/>
        <v>1.3119084216444669E-2</v>
      </c>
      <c r="N34" s="46">
        <v>3.2476955646464827</v>
      </c>
      <c r="O34" s="28">
        <v>0.27</v>
      </c>
      <c r="P34" s="28" t="s">
        <v>46</v>
      </c>
      <c r="Q34" s="29">
        <v>48197</v>
      </c>
      <c r="R34" s="28" t="s">
        <v>173</v>
      </c>
      <c r="S34" s="28" t="s">
        <v>168</v>
      </c>
    </row>
    <row r="35" spans="1:19" ht="39.950000000000003" customHeight="1">
      <c r="B35" s="30">
        <v>26</v>
      </c>
      <c r="C35" s="30" t="s">
        <v>95</v>
      </c>
      <c r="D35" s="30" t="s">
        <v>59</v>
      </c>
      <c r="E35" s="30" t="s">
        <v>104</v>
      </c>
      <c r="F35" s="25" t="s">
        <v>25</v>
      </c>
      <c r="G35" s="61" t="s">
        <v>93</v>
      </c>
      <c r="H35" s="61" t="s">
        <v>88</v>
      </c>
      <c r="I35" s="62">
        <v>6.1600000000000002E-2</v>
      </c>
      <c r="J35" s="62">
        <v>8.6400000000000005E-2</v>
      </c>
      <c r="K35" s="63">
        <v>1362320</v>
      </c>
      <c r="L35" s="62">
        <v>1.2999999999999999E-2</v>
      </c>
      <c r="M35" s="27">
        <f t="shared" si="0"/>
        <v>1.3064450814388199E-2</v>
      </c>
      <c r="N35" s="46">
        <v>4.2492525197717663</v>
      </c>
      <c r="O35" s="28">
        <v>0.52580000000000005</v>
      </c>
      <c r="P35" s="28" t="s">
        <v>42</v>
      </c>
      <c r="Q35" s="29">
        <v>49779</v>
      </c>
      <c r="R35" s="28" t="s">
        <v>199</v>
      </c>
      <c r="S35" s="28" t="s">
        <v>200</v>
      </c>
    </row>
    <row r="36" spans="1:19" ht="39.950000000000003" customHeight="1">
      <c r="B36" s="30">
        <v>27</v>
      </c>
      <c r="C36" s="30" t="s">
        <v>95</v>
      </c>
      <c r="D36" s="30" t="s">
        <v>57</v>
      </c>
      <c r="E36" s="30" t="s">
        <v>100</v>
      </c>
      <c r="F36" s="25" t="s">
        <v>33</v>
      </c>
      <c r="G36" s="61" t="s">
        <v>99</v>
      </c>
      <c r="H36" s="61" t="s">
        <v>108</v>
      </c>
      <c r="I36" s="62">
        <v>4.4999999999999998E-2</v>
      </c>
      <c r="J36" s="62">
        <v>0.1081</v>
      </c>
      <c r="K36" s="63">
        <v>1284825</v>
      </c>
      <c r="L36" s="62">
        <v>1.2E-2</v>
      </c>
      <c r="M36" s="27">
        <f t="shared" si="0"/>
        <v>1.2321285026716424E-2</v>
      </c>
      <c r="N36" s="46">
        <v>1.5</v>
      </c>
      <c r="O36" s="28">
        <v>0.82452062911393531</v>
      </c>
      <c r="P36" s="28" t="s">
        <v>37</v>
      </c>
      <c r="Q36" s="29">
        <v>47021</v>
      </c>
      <c r="R36" s="28" t="s">
        <v>202</v>
      </c>
      <c r="S36" s="28" t="s">
        <v>166</v>
      </c>
    </row>
    <row r="37" spans="1:19" ht="39.950000000000003" customHeight="1">
      <c r="B37" s="30">
        <v>28</v>
      </c>
      <c r="C37" s="30" t="s">
        <v>95</v>
      </c>
      <c r="D37" s="57" t="s">
        <v>64</v>
      </c>
      <c r="E37" s="30" t="s">
        <v>111</v>
      </c>
      <c r="F37" s="25" t="s">
        <v>44</v>
      </c>
      <c r="G37" s="61" t="s">
        <v>110</v>
      </c>
      <c r="H37" s="61" t="s">
        <v>88</v>
      </c>
      <c r="I37" s="62">
        <v>6.25E-2</v>
      </c>
      <c r="J37" s="62">
        <v>0.1211</v>
      </c>
      <c r="K37" s="63">
        <v>1283493</v>
      </c>
      <c r="L37" s="62">
        <v>1.2E-2</v>
      </c>
      <c r="M37" s="27">
        <f t="shared" si="0"/>
        <v>1.2308511340295638E-2</v>
      </c>
      <c r="N37" s="46">
        <v>0.69964323890705149</v>
      </c>
      <c r="O37" s="28">
        <v>0.46200000000000002</v>
      </c>
      <c r="P37" s="28" t="s">
        <v>46</v>
      </c>
      <c r="Q37" s="29">
        <v>46136</v>
      </c>
      <c r="R37" s="28" t="s">
        <v>189</v>
      </c>
      <c r="S37" s="28" t="s">
        <v>190</v>
      </c>
    </row>
    <row r="38" spans="1:19" ht="39.950000000000003" customHeight="1">
      <c r="B38" s="30">
        <v>29</v>
      </c>
      <c r="C38" s="30" t="s">
        <v>95</v>
      </c>
      <c r="D38" s="30" t="s">
        <v>58</v>
      </c>
      <c r="E38" s="30" t="s">
        <v>103</v>
      </c>
      <c r="F38" s="25" t="s">
        <v>25</v>
      </c>
      <c r="G38" s="61" t="s">
        <v>102</v>
      </c>
      <c r="H38" s="61" t="s">
        <v>88</v>
      </c>
      <c r="I38" s="62">
        <v>7.0000000000000007E-2</v>
      </c>
      <c r="J38" s="62">
        <v>0.1043</v>
      </c>
      <c r="K38" s="63">
        <v>1163935</v>
      </c>
      <c r="L38" s="62">
        <v>1.0999999999999999E-2</v>
      </c>
      <c r="M38" s="27">
        <f t="shared" si="0"/>
        <v>1.1161967495628729E-2</v>
      </c>
      <c r="N38" s="46">
        <v>4.4057864506766391</v>
      </c>
      <c r="O38" s="28">
        <v>0.34</v>
      </c>
      <c r="P38" s="28" t="s">
        <v>42</v>
      </c>
      <c r="Q38" s="29">
        <v>49699</v>
      </c>
      <c r="R38" s="28" t="s">
        <v>201</v>
      </c>
      <c r="S38" s="28" t="s">
        <v>200</v>
      </c>
    </row>
    <row r="39" spans="1:19" ht="39.950000000000003" customHeight="1">
      <c r="B39" s="30">
        <v>30</v>
      </c>
      <c r="C39" s="30" t="s">
        <v>95</v>
      </c>
      <c r="D39" s="30" t="s">
        <v>56</v>
      </c>
      <c r="E39" s="30" t="s">
        <v>98</v>
      </c>
      <c r="F39" s="25" t="s">
        <v>33</v>
      </c>
      <c r="G39" s="61" t="s">
        <v>93</v>
      </c>
      <c r="H39" s="61" t="s">
        <v>88</v>
      </c>
      <c r="I39" s="62">
        <v>0.10349999999999999</v>
      </c>
      <c r="J39" s="62">
        <v>0.1215</v>
      </c>
      <c r="K39" s="63">
        <v>932596</v>
      </c>
      <c r="L39" s="62">
        <v>8.9999999999999993E-3</v>
      </c>
      <c r="M39" s="27">
        <f>K39/SUM($K$10:$K$45)</f>
        <v>8.9434601060655195E-3</v>
      </c>
      <c r="N39" s="46">
        <v>5.8304421124178392</v>
      </c>
      <c r="O39" s="28">
        <v>0.42</v>
      </c>
      <c r="P39" s="28" t="s">
        <v>34</v>
      </c>
      <c r="Q39" s="29">
        <v>48745</v>
      </c>
      <c r="R39" s="28" t="s">
        <v>165</v>
      </c>
      <c r="S39" s="28" t="s">
        <v>166</v>
      </c>
    </row>
    <row r="40" spans="1:19" s="65" customFormat="1" ht="39.950000000000003" customHeight="1">
      <c r="B40" s="66">
        <v>30</v>
      </c>
      <c r="C40" s="67" t="s">
        <v>95</v>
      </c>
      <c r="D40" s="67" t="s">
        <v>218</v>
      </c>
      <c r="E40" s="67" t="s">
        <v>219</v>
      </c>
      <c r="F40" s="25" t="s">
        <v>25</v>
      </c>
      <c r="G40" s="67" t="s">
        <v>220</v>
      </c>
      <c r="H40" s="61" t="s">
        <v>88</v>
      </c>
      <c r="I40" s="68">
        <v>5.9400000000000001E-2</v>
      </c>
      <c r="J40" s="68">
        <v>0.1145</v>
      </c>
      <c r="K40" s="69">
        <v>806701</v>
      </c>
      <c r="L40" s="70">
        <v>8.0000000000000002E-3</v>
      </c>
      <c r="M40" s="27">
        <v>7.7361453523531734E-3</v>
      </c>
      <c r="N40" s="71">
        <v>6.1697949682447222</v>
      </c>
      <c r="O40" s="74">
        <v>0.35580000000000001</v>
      </c>
      <c r="P40" s="71" t="s">
        <v>42</v>
      </c>
      <c r="Q40" s="73">
        <v>51424</v>
      </c>
      <c r="R40" s="72" t="s">
        <v>203</v>
      </c>
      <c r="S40" s="72" t="s">
        <v>200</v>
      </c>
    </row>
    <row r="41" spans="1:19" ht="39.950000000000003" customHeight="1">
      <c r="B41" s="30">
        <v>30</v>
      </c>
      <c r="C41" s="61" t="s">
        <v>95</v>
      </c>
      <c r="D41" s="61" t="s">
        <v>221</v>
      </c>
      <c r="E41" s="61" t="s">
        <v>222</v>
      </c>
      <c r="F41" s="25" t="s">
        <v>33</v>
      </c>
      <c r="G41" s="61" t="s">
        <v>96</v>
      </c>
      <c r="H41" s="61" t="s">
        <v>88</v>
      </c>
      <c r="I41" s="62">
        <v>0.1065</v>
      </c>
      <c r="J41" s="62">
        <v>0.12379999999999999</v>
      </c>
      <c r="K41" s="26">
        <v>701742</v>
      </c>
      <c r="L41" s="27">
        <v>7.0000000000000001E-3</v>
      </c>
      <c r="M41" s="27">
        <v>6.7296037960173855E-3</v>
      </c>
      <c r="N41" s="71">
        <v>3.2189919456362066</v>
      </c>
      <c r="O41" s="74">
        <v>0.42</v>
      </c>
      <c r="P41" s="71" t="s">
        <v>31</v>
      </c>
      <c r="Q41" s="73">
        <v>47052</v>
      </c>
      <c r="R41" s="72" t="s">
        <v>204</v>
      </c>
      <c r="S41" s="72" t="s">
        <v>166</v>
      </c>
    </row>
    <row r="42" spans="1:19" ht="39.950000000000003" customHeight="1">
      <c r="B42" s="30">
        <v>30</v>
      </c>
      <c r="C42" s="61" t="s">
        <v>95</v>
      </c>
      <c r="D42" s="61" t="s">
        <v>55</v>
      </c>
      <c r="E42" s="61" t="s">
        <v>97</v>
      </c>
      <c r="F42" s="25" t="s">
        <v>36</v>
      </c>
      <c r="G42" s="61" t="s">
        <v>96</v>
      </c>
      <c r="H42" s="61" t="s">
        <v>88</v>
      </c>
      <c r="I42" s="62">
        <v>0.1086</v>
      </c>
      <c r="J42" s="62">
        <v>7.0099999999999996E-2</v>
      </c>
      <c r="K42" s="26">
        <v>495187</v>
      </c>
      <c r="L42" s="27">
        <v>5.0000000000000001E-3</v>
      </c>
      <c r="M42" s="27">
        <v>4.7487713646018918E-3</v>
      </c>
      <c r="N42" s="71">
        <v>3.382111476520381</v>
      </c>
      <c r="O42" s="74" t="s">
        <v>42</v>
      </c>
      <c r="P42" s="71" t="s">
        <v>37</v>
      </c>
      <c r="Q42" s="73">
        <v>48606</v>
      </c>
      <c r="R42" s="72" t="s">
        <v>174</v>
      </c>
      <c r="S42" s="72" t="s">
        <v>166</v>
      </c>
    </row>
    <row r="43" spans="1:19" ht="39.950000000000003" customHeight="1">
      <c r="B43" s="30">
        <v>30</v>
      </c>
      <c r="C43" s="61" t="s">
        <v>95</v>
      </c>
      <c r="D43" s="61" t="s">
        <v>207</v>
      </c>
      <c r="E43" s="61" t="s">
        <v>94</v>
      </c>
      <c r="F43" s="25" t="s">
        <v>44</v>
      </c>
      <c r="G43" s="61" t="s">
        <v>93</v>
      </c>
      <c r="H43" s="61" t="s">
        <v>88</v>
      </c>
      <c r="I43" s="62">
        <v>7.4999999999999997E-2</v>
      </c>
      <c r="J43" s="62">
        <v>9.06E-2</v>
      </c>
      <c r="K43" s="26">
        <v>452902</v>
      </c>
      <c r="L43" s="27">
        <v>4.0000000000000001E-3</v>
      </c>
      <c r="M43" s="27">
        <v>4.3432643598699605E-3</v>
      </c>
      <c r="N43" s="71">
        <v>3.2476955646464827</v>
      </c>
      <c r="O43" s="74">
        <v>0.27</v>
      </c>
      <c r="P43" s="71" t="s">
        <v>46</v>
      </c>
      <c r="Q43" s="73">
        <v>48197</v>
      </c>
      <c r="R43" s="72" t="s">
        <v>173</v>
      </c>
      <c r="S43" s="72" t="s">
        <v>168</v>
      </c>
    </row>
    <row r="44" spans="1:19" ht="39.950000000000003" customHeight="1">
      <c r="B44" s="30">
        <v>30</v>
      </c>
      <c r="C44" s="61" t="s">
        <v>92</v>
      </c>
      <c r="D44" s="61" t="s">
        <v>91</v>
      </c>
      <c r="E44" s="61" t="s">
        <v>41</v>
      </c>
      <c r="F44" s="61" t="s">
        <v>42</v>
      </c>
      <c r="G44" s="61" t="s">
        <v>42</v>
      </c>
      <c r="H44" s="62" t="s">
        <v>42</v>
      </c>
      <c r="I44" s="62" t="s">
        <v>42</v>
      </c>
      <c r="J44" s="63">
        <v>3600000</v>
      </c>
      <c r="K44" s="26">
        <v>3600000</v>
      </c>
      <c r="L44" s="27">
        <v>3.5000000000000003E-2</v>
      </c>
      <c r="M44" s="27">
        <v>3.4523476812934932E-2</v>
      </c>
      <c r="N44" s="71" t="s">
        <v>42</v>
      </c>
      <c r="O44" s="74" t="s">
        <v>42</v>
      </c>
      <c r="P44" s="71" t="s">
        <v>42</v>
      </c>
      <c r="Q44" s="73" t="s">
        <v>42</v>
      </c>
      <c r="R44" s="72" t="s">
        <v>42</v>
      </c>
      <c r="S44" s="72" t="s">
        <v>42</v>
      </c>
    </row>
    <row r="45" spans="1:19" ht="39.950000000000003" customHeight="1">
      <c r="B45" s="30">
        <v>30</v>
      </c>
      <c r="C45" s="61" t="s">
        <v>90</v>
      </c>
      <c r="D45" s="61" t="s">
        <v>42</v>
      </c>
      <c r="E45" s="61" t="s">
        <v>89</v>
      </c>
      <c r="F45" s="61" t="s">
        <v>42</v>
      </c>
      <c r="G45" s="61" t="s">
        <v>42</v>
      </c>
      <c r="H45" s="61" t="s">
        <v>42</v>
      </c>
      <c r="I45" s="61" t="s">
        <v>42</v>
      </c>
      <c r="J45" s="63">
        <v>2208298</v>
      </c>
      <c r="K45" s="26">
        <v>2208298</v>
      </c>
      <c r="L45" s="27">
        <v>2.1000000000000001E-2</v>
      </c>
      <c r="M45" s="27">
        <v>2.1177256888625165E-2</v>
      </c>
      <c r="N45" s="61" t="s">
        <v>42</v>
      </c>
      <c r="O45" s="61" t="s">
        <v>42</v>
      </c>
      <c r="P45" s="61" t="s">
        <v>42</v>
      </c>
      <c r="Q45" s="61" t="s">
        <v>42</v>
      </c>
      <c r="R45" s="72" t="s">
        <v>42</v>
      </c>
      <c r="S45" s="72" t="s">
        <v>42</v>
      </c>
    </row>
    <row r="46" spans="1:19" ht="24.95" customHeight="1">
      <c r="B46" s="23"/>
      <c r="C46" s="23"/>
      <c r="D46" s="23"/>
      <c r="E46" s="23"/>
      <c r="F46" s="23"/>
      <c r="G46" s="23"/>
      <c r="H46" s="23"/>
      <c r="I46" s="31"/>
      <c r="J46" s="23"/>
      <c r="K46" s="24">
        <f>SUM(K10:K45)</f>
        <v>104276867</v>
      </c>
      <c r="L46" s="54">
        <f>SUM(L10:L45)</f>
        <v>1.0000000000000002</v>
      </c>
      <c r="M46" s="32"/>
      <c r="N46" s="47"/>
      <c r="O46" s="33"/>
      <c r="P46" s="32"/>
      <c r="Q46" s="34"/>
      <c r="R46" s="34"/>
      <c r="S46" s="34"/>
    </row>
    <row r="49" s="22"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s="22" customFormat="1"/>
    <row r="83" s="22" customFormat="1"/>
    <row r="84" s="22" customFormat="1"/>
    <row r="85" s="22" customFormat="1"/>
    <row r="86" s="22" customFormat="1"/>
    <row r="87" s="22" customFormat="1"/>
    <row r="88" s="22" customFormat="1"/>
    <row r="89" s="22" customFormat="1"/>
    <row r="90" s="52" customFormat="1"/>
    <row r="91" s="52" customFormat="1"/>
    <row r="92" s="55" customFormat="1"/>
    <row r="93" s="55" customFormat="1"/>
    <row r="94" s="55" customFormat="1"/>
    <row r="95" s="55" customFormat="1"/>
    <row r="96" s="55" customFormat="1"/>
    <row r="97" spans="1:13" s="76" customFormat="1" ht="17.25">
      <c r="A97" s="55"/>
      <c r="B97" s="80" t="s">
        <v>87</v>
      </c>
      <c r="C97" s="81" t="s">
        <v>86</v>
      </c>
      <c r="D97" s="81" t="s">
        <v>85</v>
      </c>
      <c r="E97" s="81" t="s">
        <v>84</v>
      </c>
      <c r="F97" s="81" t="s">
        <v>83</v>
      </c>
      <c r="G97" s="81" t="s">
        <v>82</v>
      </c>
      <c r="H97" s="81" t="s">
        <v>50</v>
      </c>
      <c r="I97" s="82" t="s">
        <v>52</v>
      </c>
      <c r="J97" s="82" t="s">
        <v>51</v>
      </c>
      <c r="K97" s="82" t="s">
        <v>81</v>
      </c>
      <c r="L97" s="82" t="s">
        <v>47</v>
      </c>
      <c r="M97" s="82"/>
    </row>
    <row r="98" spans="1:13" s="76" customFormat="1" ht="24">
      <c r="A98" s="55"/>
      <c r="B98" s="83" t="str">
        <f>D10</f>
        <v>23I1816075</v>
      </c>
      <c r="C98" s="83" t="str">
        <f>E10</f>
        <v>Lotus</v>
      </c>
      <c r="D98" s="75">
        <f>SUMIF($D$10:$D$43,B98,$L$10:$L$43)</f>
        <v>7.5999999999999998E-2</v>
      </c>
      <c r="E98" s="75">
        <f>SUMIF($D$10:$D$43,B98,$M$10:$M$43)</f>
        <v>7.6012323998955592E-2</v>
      </c>
      <c r="F98" s="56" t="str">
        <f>VLOOKUP($B98,D10:G43,4,FALSE)</f>
        <v>True</v>
      </c>
      <c r="G98" s="56" t="str">
        <f>VLOOKUP($B98,D10:G43,3,FALSE)</f>
        <v>Corporativo</v>
      </c>
      <c r="H98" s="56" t="str">
        <f>VLOOKUP($B98,D10:P43,13,FALSE)</f>
        <v>DF</v>
      </c>
      <c r="I98" s="84">
        <f>YEAR(VLOOKUP($B98,D10:Q43,14,FALSE))</f>
        <v>2033</v>
      </c>
      <c r="J98" s="56">
        <f t="shared" ref="J98" ca="1" si="1">YEAR(VLOOKUP(B98,$D$10:$N$43,11,FALSE)*365+TODAY())</f>
        <v>2028</v>
      </c>
      <c r="K98" s="56" t="str">
        <f>LEFT(H10,4)</f>
        <v>IPCA</v>
      </c>
      <c r="L98" s="75">
        <f>SUMIF($D$10:$D$43,B98,$O$10:$O$43)</f>
        <v>0.44573643410852715</v>
      </c>
    </row>
    <row r="99" spans="1:13" s="76" customFormat="1" ht="24">
      <c r="A99" s="55"/>
      <c r="B99" s="83" t="str">
        <f t="shared" ref="B99:C99" si="2">D11</f>
        <v>23G0006601</v>
      </c>
      <c r="C99" s="56" t="str">
        <f t="shared" si="2"/>
        <v>Habitat</v>
      </c>
      <c r="D99" s="75">
        <f t="shared" ref="D99:D128" si="3">SUMIF($D$10:$D$43,B99,$L$10:$L$43)</f>
        <v>7.1999999999999995E-2</v>
      </c>
      <c r="E99" s="75">
        <f t="shared" ref="E99:E128" si="4">SUMIF($D$10:$D$43,B99,$M$10:$M$43)</f>
        <v>7.1792557787529229E-2</v>
      </c>
      <c r="F99" s="56" t="str">
        <f>VLOOKUP($B99,D11:G46,4,FALSE)</f>
        <v>True</v>
      </c>
      <c r="G99" s="56" t="str">
        <f>VLOOKUP($B99,D11:G46,3,FALSE)</f>
        <v>Corporativo</v>
      </c>
      <c r="H99" s="56" t="str">
        <f>VLOOKUP($B99,D11:P46,13,FALSE)</f>
        <v>GO</v>
      </c>
      <c r="I99" s="84">
        <f>YEAR(VLOOKUP($B99,D11:Q46,14,FALSE))</f>
        <v>2033</v>
      </c>
      <c r="J99" s="56">
        <f t="shared" ref="J99:J128" ca="1" si="5">YEAR(VLOOKUP(B99,$D$10:$N$43,11,FALSE)*365+TODAY())</f>
        <v>2028</v>
      </c>
      <c r="K99" s="56" t="str">
        <f>LEFT(H11,4)</f>
        <v>IPCA</v>
      </c>
      <c r="L99" s="75">
        <f t="shared" ref="L99:L128" si="6">SUMIF($D$10:$D$43,B99,$O$10:$O$43)</f>
        <v>0.43</v>
      </c>
    </row>
    <row r="100" spans="1:13" s="76" customFormat="1" ht="24">
      <c r="A100" s="55"/>
      <c r="B100" s="83" t="str">
        <f t="shared" ref="B100:C100" si="7">D12</f>
        <v>23I1257019</v>
      </c>
      <c r="C100" s="56" t="str">
        <f t="shared" si="7"/>
        <v>CitLog Varginha</v>
      </c>
      <c r="D100" s="75">
        <f t="shared" si="3"/>
        <v>7.0000000000000007E-2</v>
      </c>
      <c r="E100" s="75">
        <f t="shared" si="4"/>
        <v>7.0017772973558934E-2</v>
      </c>
      <c r="F100" s="56" t="str">
        <f>VLOOKUP($B100,D12:G47,4,FALSE)</f>
        <v>Habitasec</v>
      </c>
      <c r="G100" s="56" t="str">
        <f>VLOOKUP($B100,D12:G47,3,FALSE)</f>
        <v>Galpões Logísticos</v>
      </c>
      <c r="H100" s="56" t="str">
        <f>VLOOKUP($B100,D12:P47,13,FALSE)</f>
        <v>MG</v>
      </c>
      <c r="I100" s="84">
        <f>YEAR(VLOOKUP($B100,D12:Q47,14,FALSE))</f>
        <v>2032</v>
      </c>
      <c r="J100" s="56">
        <f t="shared" ca="1" si="5"/>
        <v>2028</v>
      </c>
      <c r="K100" s="56" t="str">
        <f>LEFT(H12,4)</f>
        <v>IPCA</v>
      </c>
      <c r="L100" s="75">
        <f t="shared" si="6"/>
        <v>0.56999999999999995</v>
      </c>
    </row>
    <row r="101" spans="1:13" s="76" customFormat="1" ht="24">
      <c r="A101" s="55"/>
      <c r="B101" s="83" t="str">
        <f t="shared" ref="B101:C101" si="8">D13</f>
        <v>23H1104566</v>
      </c>
      <c r="C101" s="56" t="str">
        <f t="shared" si="8"/>
        <v>Brasol</v>
      </c>
      <c r="D101" s="75">
        <f t="shared" si="3"/>
        <v>6.4000000000000001E-2</v>
      </c>
      <c r="E101" s="75">
        <f t="shared" si="4"/>
        <v>6.3955757320557013E-2</v>
      </c>
      <c r="F101" s="56" t="str">
        <f>VLOOKUP($B101,D13:G48,4,FALSE)</f>
        <v>Canal</v>
      </c>
      <c r="G101" s="56" t="str">
        <f>VLOOKUP($B101,D13:G48,3,FALSE)</f>
        <v>Energia</v>
      </c>
      <c r="H101" s="56" t="str">
        <f>VLOOKUP($B101,D13:P48,13,FALSE)</f>
        <v>MT</v>
      </c>
      <c r="I101" s="84">
        <f>YEAR(VLOOKUP($B101,D13:Q48,14,FALSE))</f>
        <v>2033</v>
      </c>
      <c r="J101" s="56">
        <f t="shared" ca="1" si="5"/>
        <v>2028</v>
      </c>
      <c r="K101" s="56" t="str">
        <f>LEFT(H13,4)</f>
        <v>IPCA</v>
      </c>
      <c r="L101" s="75">
        <f t="shared" si="6"/>
        <v>0</v>
      </c>
    </row>
    <row r="102" spans="1:13" s="76" customFormat="1" ht="24">
      <c r="A102" s="55"/>
      <c r="B102" s="83" t="str">
        <f t="shared" ref="B102:C102" si="9">D14</f>
        <v>21L0355178</v>
      </c>
      <c r="C102" s="56" t="str">
        <f t="shared" si="9"/>
        <v>Viracopos</v>
      </c>
      <c r="D102" s="75">
        <f t="shared" si="3"/>
        <v>4.8000000000000001E-2</v>
      </c>
      <c r="E102" s="75">
        <f t="shared" si="4"/>
        <v>4.8141703375111949E-2</v>
      </c>
      <c r="F102" s="56" t="str">
        <f>VLOOKUP($B102,D14:G49,4,FALSE)</f>
        <v>True</v>
      </c>
      <c r="G102" s="56" t="str">
        <f>VLOOKUP($B102,D14:G49,3,FALSE)</f>
        <v>Galpões Logísticos</v>
      </c>
      <c r="H102" s="56" t="str">
        <f>VLOOKUP($B102,D14:P49,13,FALSE)</f>
        <v>SP</v>
      </c>
      <c r="I102" s="84">
        <f>YEAR(VLOOKUP($B102,D14:Q49,14,FALSE))</f>
        <v>2031</v>
      </c>
      <c r="J102" s="56">
        <f t="shared" ca="1" si="5"/>
        <v>2028</v>
      </c>
      <c r="K102" s="56" t="str">
        <f>LEFT(H14,4)</f>
        <v>IPCA</v>
      </c>
      <c r="L102" s="75">
        <f t="shared" si="6"/>
        <v>0.27</v>
      </c>
    </row>
    <row r="103" spans="1:13" s="76" customFormat="1" ht="24">
      <c r="A103" s="55"/>
      <c r="B103" s="83" t="str">
        <f t="shared" ref="B103:C103" si="10">D15</f>
        <v>23J1338137</v>
      </c>
      <c r="C103" s="56" t="str">
        <f t="shared" si="10"/>
        <v>ForGreen</v>
      </c>
      <c r="D103" s="75">
        <f t="shared" si="3"/>
        <v>4.4999999999999998E-2</v>
      </c>
      <c r="E103" s="75">
        <f t="shared" si="4"/>
        <v>4.4867400935626502E-2</v>
      </c>
      <c r="F103" s="56" t="str">
        <f>VLOOKUP($B103,D15:G50,4,FALSE)</f>
        <v>Canal</v>
      </c>
      <c r="G103" s="56" t="str">
        <f>VLOOKUP($B103,D15:G50,3,FALSE)</f>
        <v>Energia</v>
      </c>
      <c r="H103" s="56" t="str">
        <f>VLOOKUP($B103,D15:P50,13,FALSE)</f>
        <v>MG</v>
      </c>
      <c r="I103" s="84">
        <f>YEAR(VLOOKUP($B103,D15:Q50,14,FALSE))</f>
        <v>2033</v>
      </c>
      <c r="J103" s="56">
        <f t="shared" ca="1" si="5"/>
        <v>2028</v>
      </c>
      <c r="K103" s="56" t="str">
        <f>LEFT(H15,4)</f>
        <v>IPCA</v>
      </c>
      <c r="L103" s="75">
        <f t="shared" si="6"/>
        <v>0</v>
      </c>
    </row>
    <row r="104" spans="1:13" s="76" customFormat="1" ht="24">
      <c r="A104" s="55"/>
      <c r="B104" s="83" t="str">
        <f t="shared" ref="B104:C104" si="11">D16</f>
        <v>21H0888186</v>
      </c>
      <c r="C104" s="56" t="str">
        <f t="shared" si="11"/>
        <v>Opy</v>
      </c>
      <c r="D104" s="75">
        <f t="shared" si="3"/>
        <v>4.1000000000000002E-2</v>
      </c>
      <c r="E104" s="75">
        <f t="shared" si="4"/>
        <v>4.0500478404285008E-2</v>
      </c>
      <c r="F104" s="56" t="str">
        <f>VLOOKUP($B104,D16:G51,4,FALSE)</f>
        <v>Virgo</v>
      </c>
      <c r="G104" s="56" t="str">
        <f>VLOOKUP($B104,D16:G51,3,FALSE)</f>
        <v>Outros</v>
      </c>
      <c r="H104" s="56" t="str">
        <f>VLOOKUP($B104,D16:P51,13,FALSE)</f>
        <v>MG</v>
      </c>
      <c r="I104" s="84">
        <f>YEAR(VLOOKUP($B104,D16:Q51,14,FALSE))</f>
        <v>2031</v>
      </c>
      <c r="J104" s="56">
        <f t="shared" ca="1" si="5"/>
        <v>2028</v>
      </c>
      <c r="K104" s="56" t="str">
        <f>LEFT(H16,4)</f>
        <v>IPCA</v>
      </c>
      <c r="L104" s="75">
        <f t="shared" si="6"/>
        <v>0.5</v>
      </c>
    </row>
    <row r="105" spans="1:13" s="76" customFormat="1" ht="24">
      <c r="A105" s="55"/>
      <c r="B105" s="83" t="str">
        <f t="shared" ref="B105:C105" si="12">D17</f>
        <v>24A2806776</v>
      </c>
      <c r="C105" s="56" t="str">
        <f t="shared" si="12"/>
        <v>RCP</v>
      </c>
      <c r="D105" s="75">
        <f t="shared" si="3"/>
        <v>3.9E-2</v>
      </c>
      <c r="E105" s="75">
        <f t="shared" si="4"/>
        <v>3.9121850486743145E-2</v>
      </c>
      <c r="F105" s="56" t="str">
        <f>VLOOKUP($B105,D17:G52,4,FALSE)</f>
        <v>Virgo</v>
      </c>
      <c r="G105" s="56" t="str">
        <f>VLOOKUP($B105,D17:G52,3,FALSE)</f>
        <v>Galpões Logísticos</v>
      </c>
      <c r="H105" s="56" t="str">
        <f>VLOOKUP($B105,D17:P52,13,FALSE)</f>
        <v>SP</v>
      </c>
      <c r="I105" s="84">
        <f>YEAR(VLOOKUP($B105,D17:Q52,14,FALSE))</f>
        <v>2039</v>
      </c>
      <c r="J105" s="56">
        <f t="shared" ca="1" si="5"/>
        <v>2031</v>
      </c>
      <c r="K105" s="56" t="str">
        <f>LEFT(H17,4)</f>
        <v>IPCA</v>
      </c>
      <c r="L105" s="75">
        <f t="shared" si="6"/>
        <v>0.38</v>
      </c>
    </row>
    <row r="106" spans="1:13" s="76" customFormat="1" ht="24">
      <c r="A106" s="55"/>
      <c r="B106" s="83" t="str">
        <f t="shared" ref="B106:C106" si="13">D18</f>
        <v>23J2272828</v>
      </c>
      <c r="C106" s="56" t="str">
        <f t="shared" si="13"/>
        <v>PHV</v>
      </c>
      <c r="D106" s="75">
        <f t="shared" si="3"/>
        <v>3.7999999999999999E-2</v>
      </c>
      <c r="E106" s="75">
        <f t="shared" si="4"/>
        <v>3.8135044851318751E-2</v>
      </c>
      <c r="F106" s="56" t="str">
        <f>VLOOKUP($B106,D18:G53,4,FALSE)</f>
        <v>True</v>
      </c>
      <c r="G106" s="56" t="str">
        <f>VLOOKUP($B106,D18:G53,3,FALSE)</f>
        <v>Residencial</v>
      </c>
      <c r="H106" s="56" t="str">
        <f>VLOOKUP($B106,D18:P53,13,FALSE)</f>
        <v>MG</v>
      </c>
      <c r="I106" s="84">
        <f>YEAR(VLOOKUP($B106,D18:Q53,14,FALSE))</f>
        <v>2026</v>
      </c>
      <c r="J106" s="56">
        <f t="shared" ca="1" si="5"/>
        <v>2027</v>
      </c>
      <c r="K106" s="56" t="str">
        <f>LEFT(H18,4)</f>
        <v>IPCA</v>
      </c>
      <c r="L106" s="75">
        <f t="shared" si="6"/>
        <v>0.47</v>
      </c>
    </row>
    <row r="107" spans="1:13" s="76" customFormat="1" ht="24">
      <c r="A107" s="55"/>
      <c r="B107" s="83" t="str">
        <f t="shared" ref="B107:C107" si="14">D19</f>
        <v>21H0891311</v>
      </c>
      <c r="C107" s="56" t="str">
        <f t="shared" si="14"/>
        <v>Lote5</v>
      </c>
      <c r="D107" s="75">
        <f t="shared" si="3"/>
        <v>3.5999999999999997E-2</v>
      </c>
      <c r="E107" s="75">
        <f t="shared" si="4"/>
        <v>3.6029879954103339E-2</v>
      </c>
      <c r="F107" s="56" t="str">
        <f>VLOOKUP($B107,D19:G54,4,FALSE)</f>
        <v>Ore</v>
      </c>
      <c r="G107" s="56" t="str">
        <f>VLOOKUP($B107,D19:G54,3,FALSE)</f>
        <v>Loteamento</v>
      </c>
      <c r="H107" s="56" t="str">
        <f>VLOOKUP($B107,D19:P54,13,FALSE)</f>
        <v>SP</v>
      </c>
      <c r="I107" s="84">
        <f>YEAR(VLOOKUP($B107,D19:Q54,14,FALSE))</f>
        <v>2031</v>
      </c>
      <c r="J107" s="56">
        <f t="shared" ca="1" si="5"/>
        <v>2028</v>
      </c>
      <c r="K107" s="56" t="str">
        <f>LEFT(H19,4)</f>
        <v>IPCA</v>
      </c>
      <c r="L107" s="75">
        <f t="shared" si="6"/>
        <v>0.72013778349874746</v>
      </c>
    </row>
    <row r="108" spans="1:13" s="76" customFormat="1" ht="24">
      <c r="A108" s="55"/>
      <c r="B108" s="83" t="str">
        <f t="shared" ref="B108:C108" si="15">D20</f>
        <v>24L1567363</v>
      </c>
      <c r="C108" s="56" t="str">
        <f t="shared" si="15"/>
        <v>DUE</v>
      </c>
      <c r="D108" s="75">
        <f t="shared" si="3"/>
        <v>3.2000000000000001E-2</v>
      </c>
      <c r="E108" s="75">
        <f t="shared" si="4"/>
        <v>3.2053859078830974E-2</v>
      </c>
      <c r="F108" s="56" t="str">
        <f>VLOOKUP($B108,D20:G55,4,FALSE)</f>
        <v>Canal</v>
      </c>
      <c r="G108" s="56" t="str">
        <f>VLOOKUP($B108,D20:G55,3,FALSE)</f>
        <v>Residencial</v>
      </c>
      <c r="H108" s="56" t="str">
        <f>VLOOKUP($B108,D20:P55,13,FALSE)</f>
        <v>PE</v>
      </c>
      <c r="I108" s="84">
        <f>YEAR(VLOOKUP($B108,D20:Q55,14,FALSE))</f>
        <v>2028</v>
      </c>
      <c r="J108" s="56">
        <f t="shared" ca="1" si="5"/>
        <v>2027</v>
      </c>
      <c r="K108" s="56" t="str">
        <f>LEFT(H20,4)</f>
        <v xml:space="preserve">CDI </v>
      </c>
      <c r="L108" s="75">
        <f t="shared" si="6"/>
        <v>0.47</v>
      </c>
    </row>
    <row r="109" spans="1:13" s="76" customFormat="1" ht="24">
      <c r="A109" s="55"/>
      <c r="B109" s="83" t="str">
        <f t="shared" ref="B109:C109" si="16">D21</f>
        <v>23G2304202</v>
      </c>
      <c r="C109" s="56" t="str">
        <f t="shared" si="16"/>
        <v>Caprem</v>
      </c>
      <c r="D109" s="75">
        <f t="shared" si="3"/>
        <v>2.9000000000000001E-2</v>
      </c>
      <c r="E109" s="75">
        <f t="shared" si="4"/>
        <v>2.9387850710934766E-2</v>
      </c>
      <c r="F109" s="56" t="str">
        <f>VLOOKUP($B109,D21:G56,4,FALSE)</f>
        <v>Travessia</v>
      </c>
      <c r="G109" s="56" t="str">
        <f>VLOOKUP($B109,D21:G56,3,FALSE)</f>
        <v>Residencial</v>
      </c>
      <c r="H109" s="56" t="str">
        <f>VLOOKUP($B109,D21:P56,13,FALSE)</f>
        <v>SP</v>
      </c>
      <c r="I109" s="84">
        <f>YEAR(VLOOKUP($B109,D21:Q56,14,FALSE))</f>
        <v>2027</v>
      </c>
      <c r="J109" s="56">
        <f t="shared" ca="1" si="5"/>
        <v>2027</v>
      </c>
      <c r="K109" s="56" t="str">
        <f>LEFT(H21,4)</f>
        <v>IPCA</v>
      </c>
      <c r="L109" s="75">
        <f t="shared" si="6"/>
        <v>0.71</v>
      </c>
    </row>
    <row r="110" spans="1:13" s="76" customFormat="1" ht="24">
      <c r="A110" s="55"/>
      <c r="B110" s="83" t="str">
        <f t="shared" ref="B110:C110" si="17">D22</f>
        <v>22K1685406</v>
      </c>
      <c r="C110" s="56" t="str">
        <f t="shared" si="17"/>
        <v>Diferencial</v>
      </c>
      <c r="D110" s="75">
        <f t="shared" si="3"/>
        <v>2.8000000000000001E-2</v>
      </c>
      <c r="E110" s="75">
        <f t="shared" si="4"/>
        <v>2.8276827687966497E-2</v>
      </c>
      <c r="F110" s="56" t="str">
        <f>VLOOKUP($B110,D22:G57,4,FALSE)</f>
        <v>Virgo</v>
      </c>
      <c r="G110" s="56" t="str">
        <f>VLOOKUP($B110,D22:G57,3,FALSE)</f>
        <v>Energia</v>
      </c>
      <c r="H110" s="56" t="str">
        <f>VLOOKUP($B110,D22:P57,13,FALSE)</f>
        <v>RJ</v>
      </c>
      <c r="I110" s="84">
        <f>YEAR(VLOOKUP($B110,D22:Q57,14,FALSE))</f>
        <v>2032</v>
      </c>
      <c r="J110" s="56">
        <f t="shared" ca="1" si="5"/>
        <v>2028</v>
      </c>
      <c r="K110" s="56" t="str">
        <f>LEFT(H22,4)</f>
        <v>IPCA</v>
      </c>
      <c r="L110" s="75">
        <f t="shared" si="6"/>
        <v>0</v>
      </c>
    </row>
    <row r="111" spans="1:13" s="76" customFormat="1" ht="24">
      <c r="A111" s="55"/>
      <c r="B111" s="83" t="str">
        <f t="shared" ref="B111:C111" si="18">D23</f>
        <v>25C3605714</v>
      </c>
      <c r="C111" s="56" t="str">
        <f t="shared" si="18"/>
        <v>Lotus II</v>
      </c>
      <c r="D111" s="75">
        <f t="shared" si="3"/>
        <v>2.5000000000000001E-2</v>
      </c>
      <c r="E111" s="75">
        <f t="shared" si="4"/>
        <v>2.4591120483126904E-2</v>
      </c>
      <c r="F111" s="56" t="str">
        <f>VLOOKUP($B111,D23:G58,4,FALSE)</f>
        <v>Canal</v>
      </c>
      <c r="G111" s="56" t="str">
        <f>VLOOKUP($B111,D23:G58,3,FALSE)</f>
        <v>Corporativo</v>
      </c>
      <c r="H111" s="56" t="str">
        <f>VLOOKUP($B111,D23:P58,13,FALSE)</f>
        <v>DF</v>
      </c>
      <c r="I111" s="84">
        <f>YEAR(VLOOKUP($B111,D23:Q58,14,FALSE))</f>
        <v>2028</v>
      </c>
      <c r="J111" s="56">
        <f t="shared" ca="1" si="5"/>
        <v>2027</v>
      </c>
      <c r="K111" s="56" t="str">
        <f>LEFT(H23,4)</f>
        <v>Pré</v>
      </c>
      <c r="L111" s="75">
        <f t="shared" si="6"/>
        <v>0.75</v>
      </c>
    </row>
    <row r="112" spans="1:13" s="76" customFormat="1" ht="24">
      <c r="A112" s="55"/>
      <c r="B112" s="83" t="str">
        <f t="shared" ref="B112:C112" si="19">D24</f>
        <v>21B0631104</v>
      </c>
      <c r="C112" s="56" t="str">
        <f t="shared" si="19"/>
        <v>Sotreq</v>
      </c>
      <c r="D112" s="75">
        <f t="shared" si="3"/>
        <v>2.4E-2</v>
      </c>
      <c r="E112" s="75">
        <f t="shared" si="4"/>
        <v>2.3780538017123203E-2</v>
      </c>
      <c r="F112" s="56" t="str">
        <f>VLOOKUP($B112,D24:G59,4,FALSE)</f>
        <v>Opea</v>
      </c>
      <c r="G112" s="56" t="str">
        <f>VLOOKUP($B112,D24:G59,3,FALSE)</f>
        <v>Galpões Logísticos</v>
      </c>
      <c r="H112" s="56" t="str">
        <f>VLOOKUP($B112,D24:P59,13,FALSE)</f>
        <v>PA</v>
      </c>
      <c r="I112" s="84">
        <f>YEAR(VLOOKUP($B112,D24:Q59,14,FALSE))</f>
        <v>2036</v>
      </c>
      <c r="J112" s="56">
        <f t="shared" ca="1" si="5"/>
        <v>2030</v>
      </c>
      <c r="K112" s="56" t="str">
        <f>LEFT(H24,4)</f>
        <v>IPCA</v>
      </c>
      <c r="L112" s="75">
        <f t="shared" si="6"/>
        <v>0.76986912663199547</v>
      </c>
    </row>
    <row r="113" spans="1:12" s="76" customFormat="1" ht="24">
      <c r="A113" s="55"/>
      <c r="B113" s="83" t="str">
        <f t="shared" ref="B113:C113" si="20">D25</f>
        <v>20K0696607</v>
      </c>
      <c r="C113" s="56" t="str">
        <f t="shared" si="20"/>
        <v>Pague Menos</v>
      </c>
      <c r="D113" s="75">
        <f t="shared" si="3"/>
        <v>2.3E-2</v>
      </c>
      <c r="E113" s="75">
        <f t="shared" si="4"/>
        <v>2.3378579258619268E-2</v>
      </c>
      <c r="F113" s="56" t="str">
        <f>VLOOKUP($B113,D25:G60,4,FALSE)</f>
        <v>True</v>
      </c>
      <c r="G113" s="56" t="str">
        <f>VLOOKUP($B113,D25:G60,3,FALSE)</f>
        <v>Varejo</v>
      </c>
      <c r="H113" s="56" t="str">
        <f>VLOOKUP($B113,D25:P60,13,FALSE)</f>
        <v>-</v>
      </c>
      <c r="I113" s="84">
        <f>YEAR(VLOOKUP($B113,D25:Q60,14,FALSE))</f>
        <v>2040</v>
      </c>
      <c r="J113" s="56">
        <f t="shared" ca="1" si="5"/>
        <v>2031</v>
      </c>
      <c r="K113" s="56" t="str">
        <f>LEFT(H25,4)</f>
        <v>IPCA</v>
      </c>
      <c r="L113" s="75">
        <f t="shared" si="6"/>
        <v>0.71</v>
      </c>
    </row>
    <row r="114" spans="1:12" s="76" customFormat="1" ht="24">
      <c r="A114" s="55"/>
      <c r="B114" s="83" t="str">
        <f t="shared" ref="B114:C114" si="21">D26</f>
        <v>20G0926014</v>
      </c>
      <c r="C114" s="56" t="str">
        <f t="shared" si="21"/>
        <v>Quero Quero</v>
      </c>
      <c r="D114" s="75">
        <f t="shared" si="3"/>
        <v>2.3E-2</v>
      </c>
      <c r="E114" s="75">
        <f t="shared" si="4"/>
        <v>2.3146773291529751E-2</v>
      </c>
      <c r="F114" s="56" t="str">
        <f>VLOOKUP($B114,D26:G61,4,FALSE)</f>
        <v>Habitasec</v>
      </c>
      <c r="G114" s="56" t="str">
        <f>VLOOKUP($B114,D26:G61,3,FALSE)</f>
        <v>Galpões Logísticos</v>
      </c>
      <c r="H114" s="56" t="str">
        <f>VLOOKUP($B114,D26:P61,13,FALSE)</f>
        <v>RS</v>
      </c>
      <c r="I114" s="84">
        <f>YEAR(VLOOKUP($B114,D26:Q61,14,FALSE))</f>
        <v>2041</v>
      </c>
      <c r="J114" s="56">
        <f t="shared" ca="1" si="5"/>
        <v>2032</v>
      </c>
      <c r="K114" s="56" t="str">
        <f>LEFT(H26,4)</f>
        <v>IPCA</v>
      </c>
      <c r="L114" s="75">
        <f t="shared" si="6"/>
        <v>0.60499999999999998</v>
      </c>
    </row>
    <row r="115" spans="1:12" s="76" customFormat="1" ht="24">
      <c r="A115" s="55"/>
      <c r="B115" s="83" t="str">
        <f t="shared" ref="B115:C115" si="22">D27</f>
        <v>21H0748795</v>
      </c>
      <c r="C115" s="56" t="str">
        <f t="shared" si="22"/>
        <v>CK</v>
      </c>
      <c r="D115" s="75">
        <f t="shared" si="3"/>
        <v>2.3E-2</v>
      </c>
      <c r="E115" s="75">
        <f t="shared" si="4"/>
        <v>2.2706148238995329E-2</v>
      </c>
      <c r="F115" s="56" t="str">
        <f>VLOOKUP($B115,D27:G62,4,FALSE)</f>
        <v>True</v>
      </c>
      <c r="G115" s="56" t="str">
        <f>VLOOKUP($B115,D27:G62,3,FALSE)</f>
        <v>Residencial</v>
      </c>
      <c r="H115" s="56" t="str">
        <f>VLOOKUP($B115,D27:P62,13,FALSE)</f>
        <v>SC</v>
      </c>
      <c r="I115" s="84">
        <f>YEAR(VLOOKUP($B115,D27:Q62,14,FALSE))</f>
        <v>2026</v>
      </c>
      <c r="J115" s="56">
        <f t="shared" ca="1" si="5"/>
        <v>2026</v>
      </c>
      <c r="K115" s="56" t="str">
        <f>LEFT(H27,4)</f>
        <v xml:space="preserve">CDI </v>
      </c>
      <c r="L115" s="75">
        <f t="shared" si="6"/>
        <v>0.47458892159751703</v>
      </c>
    </row>
    <row r="116" spans="1:12" s="76" customFormat="1" ht="24">
      <c r="A116" s="55"/>
      <c r="B116" s="83" t="str">
        <f t="shared" ref="B116:C116" si="23">D28</f>
        <v>24L2720216</v>
      </c>
      <c r="C116" s="56" t="str">
        <f t="shared" si="23"/>
        <v>Gt Urbanismo</v>
      </c>
      <c r="D116" s="75">
        <f t="shared" si="3"/>
        <v>2.3E-2</v>
      </c>
      <c r="E116" s="75">
        <f t="shared" si="4"/>
        <v>2.2656654999042118E-2</v>
      </c>
      <c r="F116" s="56" t="str">
        <f>VLOOKUP($B116,D28:G63,4,FALSE)</f>
        <v>Virgo</v>
      </c>
      <c r="G116" s="56" t="str">
        <f>VLOOKUP($B116,D28:G63,3,FALSE)</f>
        <v>Loteamento</v>
      </c>
      <c r="H116" s="56" t="str">
        <f>VLOOKUP($B116,D28:P63,13,FALSE)</f>
        <v>-</v>
      </c>
      <c r="I116" s="84">
        <f>YEAR(VLOOKUP($B116,D28:Q63,14,FALSE))</f>
        <v>2035</v>
      </c>
      <c r="J116" s="56">
        <f t="shared" ca="1" si="5"/>
        <v>2030</v>
      </c>
      <c r="K116" s="56" t="str">
        <f>LEFT(H28,4)</f>
        <v>IPCA</v>
      </c>
      <c r="L116" s="75">
        <f t="shared" si="6"/>
        <v>0.66225165562913912</v>
      </c>
    </row>
    <row r="117" spans="1:12" s="76" customFormat="1" ht="24">
      <c r="A117" s="55"/>
      <c r="B117" s="83" t="str">
        <f t="shared" ref="B117:C117" si="24">D29</f>
        <v>23L1199759</v>
      </c>
      <c r="C117" s="56" t="str">
        <f t="shared" si="24"/>
        <v>Urba</v>
      </c>
      <c r="D117" s="75">
        <f t="shared" si="3"/>
        <v>2.1999999999999999E-2</v>
      </c>
      <c r="E117" s="75">
        <f t="shared" si="4"/>
        <v>2.2339950048556791E-2</v>
      </c>
      <c r="F117" s="56" t="str">
        <f>VLOOKUP($B117,D29:G64,4,FALSE)</f>
        <v>True</v>
      </c>
      <c r="G117" s="56" t="str">
        <f>VLOOKUP($B117,D29:G64,3,FALSE)</f>
        <v>Loteamento</v>
      </c>
      <c r="H117" s="56" t="str">
        <f>VLOOKUP($B117,D29:P64,13,FALSE)</f>
        <v>-</v>
      </c>
      <c r="I117" s="84">
        <f>YEAR(VLOOKUP($B117,D29:Q64,14,FALSE))</f>
        <v>2033</v>
      </c>
      <c r="J117" s="56">
        <f t="shared" ca="1" si="5"/>
        <v>2027</v>
      </c>
      <c r="K117" s="56" t="str">
        <f>LEFT(H29,4)</f>
        <v>IPCA</v>
      </c>
      <c r="L117" s="75">
        <f t="shared" si="6"/>
        <v>0.43103448275862066</v>
      </c>
    </row>
    <row r="118" spans="1:12" s="76" customFormat="1" ht="24">
      <c r="A118" s="55"/>
      <c r="B118" s="83" t="str">
        <f t="shared" ref="B118:C118" si="25">D30</f>
        <v>23C2831601</v>
      </c>
      <c r="C118" s="56" t="str">
        <f t="shared" si="25"/>
        <v>Teriva</v>
      </c>
      <c r="D118" s="75">
        <f t="shared" si="3"/>
        <v>0.02</v>
      </c>
      <c r="E118" s="75">
        <f t="shared" si="4"/>
        <v>1.9522987778296023E-2</v>
      </c>
      <c r="F118" s="56" t="str">
        <f>VLOOKUP($B118,D30:G65,4,FALSE)</f>
        <v>True</v>
      </c>
      <c r="G118" s="56" t="str">
        <f>VLOOKUP($B118,D30:G65,3,FALSE)</f>
        <v>Loteamento</v>
      </c>
      <c r="H118" s="56" t="str">
        <f>VLOOKUP($B118,D30:P65,13,FALSE)</f>
        <v>SP</v>
      </c>
      <c r="I118" s="84">
        <f>YEAR(VLOOKUP($B118,D30:Q65,14,FALSE))</f>
        <v>2030</v>
      </c>
      <c r="J118" s="56">
        <f t="shared" ca="1" si="5"/>
        <v>2027</v>
      </c>
      <c r="K118" s="56" t="str">
        <f>LEFT(H30,4)</f>
        <v xml:space="preserve">CDI </v>
      </c>
      <c r="L118" s="75">
        <f t="shared" si="6"/>
        <v>0.54207428997788365</v>
      </c>
    </row>
    <row r="119" spans="1:12" s="76" customFormat="1" ht="24">
      <c r="A119" s="55"/>
      <c r="B119" s="83" t="str">
        <f t="shared" ref="B119:C119" si="26">D31</f>
        <v>20K0568000</v>
      </c>
      <c r="C119" s="56" t="str">
        <f t="shared" si="26"/>
        <v>Sinal</v>
      </c>
      <c r="D119" s="75">
        <f t="shared" si="3"/>
        <v>1.7000000000000001E-2</v>
      </c>
      <c r="E119" s="75">
        <f t="shared" si="4"/>
        <v>1.7484712117405675E-2</v>
      </c>
      <c r="F119" s="56" t="str">
        <f>VLOOKUP($B119,D31:G66,4,FALSE)</f>
        <v>Virgo</v>
      </c>
      <c r="G119" s="56" t="str">
        <f>VLOOKUP($B119,D31:G66,3,FALSE)</f>
        <v>Corporativo</v>
      </c>
      <c r="H119" s="56" t="str">
        <f>VLOOKUP($B119,D31:P66,13,FALSE)</f>
        <v>SP</v>
      </c>
      <c r="I119" s="84">
        <f>YEAR(VLOOKUP($B119,D31:Q66,14,FALSE))</f>
        <v>2032</v>
      </c>
      <c r="J119" s="56">
        <f t="shared" ca="1" si="5"/>
        <v>2029</v>
      </c>
      <c r="K119" s="56" t="str">
        <f>LEFT(H31,4)</f>
        <v>IPCA</v>
      </c>
      <c r="L119" s="75">
        <f t="shared" si="6"/>
        <v>0.55100000000000005</v>
      </c>
    </row>
    <row r="120" spans="1:12" s="76" customFormat="1" ht="24">
      <c r="A120" s="55"/>
      <c r="B120" s="83" t="str">
        <f t="shared" ref="B120:C120" si="27">D32</f>
        <v>21H0001405</v>
      </c>
      <c r="C120" s="56" t="str">
        <f t="shared" si="27"/>
        <v>Casa &amp; Vídeo</v>
      </c>
      <c r="D120" s="75">
        <f t="shared" si="3"/>
        <v>1.7000000000000001E-2</v>
      </c>
      <c r="E120" s="75">
        <f t="shared" si="4"/>
        <v>1.6558581492480014E-2</v>
      </c>
      <c r="F120" s="56" t="str">
        <f>VLOOKUP($B120,D32:G67,4,FALSE)</f>
        <v>Virgo</v>
      </c>
      <c r="G120" s="56" t="str">
        <f>VLOOKUP($B120,D32:G67,3,FALSE)</f>
        <v>Varejo</v>
      </c>
      <c r="H120" s="56" t="str">
        <f>VLOOKUP($B120,D32:P67,13,FALSE)</f>
        <v>-</v>
      </c>
      <c r="I120" s="84">
        <f>YEAR(VLOOKUP($B120,D32:Q67,14,FALSE))</f>
        <v>2027</v>
      </c>
      <c r="J120" s="56">
        <f t="shared" ca="1" si="5"/>
        <v>2026</v>
      </c>
      <c r="K120" s="56" t="str">
        <f>LEFT(H32,4)</f>
        <v>IPCA</v>
      </c>
      <c r="L120" s="75">
        <f t="shared" si="6"/>
        <v>0</v>
      </c>
    </row>
    <row r="121" spans="1:12" s="76" customFormat="1" ht="24">
      <c r="A121" s="55"/>
      <c r="B121" s="83" t="str">
        <f t="shared" ref="B121:C121" si="28">D33</f>
        <v>21F0568989</v>
      </c>
      <c r="C121" s="56" t="str">
        <f t="shared" si="28"/>
        <v>Pulverizado Ore</v>
      </c>
      <c r="D121" s="75">
        <f t="shared" si="3"/>
        <v>1.4999999999999999E-2</v>
      </c>
      <c r="E121" s="75">
        <f t="shared" si="4"/>
        <v>1.5363369135361538E-2</v>
      </c>
      <c r="F121" s="56" t="str">
        <f>VLOOKUP($B121,D33:G68,4,FALSE)</f>
        <v>Ore</v>
      </c>
      <c r="G121" s="56" t="str">
        <f>VLOOKUP($B121,D33:G68,3,FALSE)</f>
        <v>Residencial</v>
      </c>
      <c r="H121" s="56" t="str">
        <f>VLOOKUP($B121,D33:P68,13,FALSE)</f>
        <v>SP</v>
      </c>
      <c r="I121" s="84">
        <f>YEAR(VLOOKUP($B121,D33:Q68,14,FALSE))</f>
        <v>2036</v>
      </c>
      <c r="J121" s="56">
        <f t="shared" ca="1" si="5"/>
        <v>2029</v>
      </c>
      <c r="K121" s="56" t="str">
        <f>LEFT(H33,4)</f>
        <v>IPCA</v>
      </c>
      <c r="L121" s="75">
        <f t="shared" si="6"/>
        <v>0.75</v>
      </c>
    </row>
    <row r="122" spans="1:12" s="76" customFormat="1" ht="24">
      <c r="A122" s="55"/>
      <c r="B122" s="83" t="str">
        <f t="shared" ref="B122:C122" si="29">D34</f>
        <v>21L0354209</v>
      </c>
      <c r="C122" s="56" t="str">
        <f t="shared" si="29"/>
        <v>Viracopos</v>
      </c>
      <c r="D122" s="75">
        <f t="shared" si="3"/>
        <v>1.2999999999999999E-2</v>
      </c>
      <c r="E122" s="75">
        <f t="shared" si="4"/>
        <v>1.3119084216444669E-2</v>
      </c>
      <c r="F122" s="56" t="str">
        <f>VLOOKUP($B122,D34:G69,4,FALSE)</f>
        <v>True</v>
      </c>
      <c r="G122" s="56" t="str">
        <f>VLOOKUP($B122,D34:G69,3,FALSE)</f>
        <v>Galpões Logísticos</v>
      </c>
      <c r="H122" s="56" t="str">
        <f>VLOOKUP($B122,D34:P69,13,FALSE)</f>
        <v>SP</v>
      </c>
      <c r="I122" s="84">
        <f>YEAR(VLOOKUP($B122,D34:Q69,14,FALSE))</f>
        <v>2031</v>
      </c>
      <c r="J122" s="56">
        <f t="shared" ca="1" si="5"/>
        <v>2028</v>
      </c>
      <c r="K122" s="56" t="str">
        <f>LEFT(H34,4)</f>
        <v>IPCA</v>
      </c>
      <c r="L122" s="75">
        <f t="shared" si="6"/>
        <v>0.27</v>
      </c>
    </row>
    <row r="123" spans="1:12" s="76" customFormat="1" ht="24">
      <c r="A123" s="55"/>
      <c r="B123" s="83" t="str">
        <f t="shared" ref="B123:C123" si="30">D35</f>
        <v>21D0402879</v>
      </c>
      <c r="C123" s="56" t="str">
        <f t="shared" si="30"/>
        <v>Pontte</v>
      </c>
      <c r="D123" s="75">
        <f t="shared" si="3"/>
        <v>1.2999999999999999E-2</v>
      </c>
      <c r="E123" s="75">
        <f t="shared" si="4"/>
        <v>1.3064450814388199E-2</v>
      </c>
      <c r="F123" s="56" t="str">
        <f>VLOOKUP($B123,D35:G70,4,FALSE)</f>
        <v>True</v>
      </c>
      <c r="G123" s="56" t="str">
        <f>VLOOKUP($B123,D35:G70,3,FALSE)</f>
        <v>Home Equity</v>
      </c>
      <c r="H123" s="56" t="str">
        <f>VLOOKUP($B123,D35:P70,13,FALSE)</f>
        <v>-</v>
      </c>
      <c r="I123" s="84">
        <f>YEAR(VLOOKUP($B123,D35:Q70,14,FALSE))</f>
        <v>2036</v>
      </c>
      <c r="J123" s="56">
        <f t="shared" ca="1" si="5"/>
        <v>2029</v>
      </c>
      <c r="K123" s="56" t="str">
        <f>LEFT(H35,4)</f>
        <v>IPCA</v>
      </c>
      <c r="L123" s="75">
        <f t="shared" si="6"/>
        <v>0.52580000000000005</v>
      </c>
    </row>
    <row r="124" spans="1:12" s="76" customFormat="1" ht="24">
      <c r="A124" s="55"/>
      <c r="B124" s="83" t="str">
        <f t="shared" ref="B124:C124" si="31">D36</f>
        <v>21I0912120</v>
      </c>
      <c r="C124" s="56" t="str">
        <f t="shared" si="31"/>
        <v>Minas Brisa</v>
      </c>
      <c r="D124" s="75">
        <f t="shared" si="3"/>
        <v>1.2E-2</v>
      </c>
      <c r="E124" s="75">
        <f t="shared" si="4"/>
        <v>1.2321285026716424E-2</v>
      </c>
      <c r="F124" s="56" t="str">
        <f>VLOOKUP($B124,D36:G71,4,FALSE)</f>
        <v>Ore</v>
      </c>
      <c r="G124" s="56" t="str">
        <f>VLOOKUP($B124,D36:G71,3,FALSE)</f>
        <v>Residencial</v>
      </c>
      <c r="H124" s="56" t="str">
        <f>VLOOKUP($B124,D36:P71,13,FALSE)</f>
        <v>MG</v>
      </c>
      <c r="I124" s="84">
        <f>YEAR(VLOOKUP($B124,D36:Q71,14,FALSE))</f>
        <v>2028</v>
      </c>
      <c r="J124" s="56">
        <f t="shared" ca="1" si="5"/>
        <v>2026</v>
      </c>
      <c r="K124" s="56" t="str">
        <f>LEFT(H36,4)</f>
        <v xml:space="preserve">CDI </v>
      </c>
      <c r="L124" s="75">
        <f t="shared" si="6"/>
        <v>0.82452062911393531</v>
      </c>
    </row>
    <row r="125" spans="1:12" s="76" customFormat="1" ht="24">
      <c r="A125" s="55"/>
      <c r="B125" s="83" t="str">
        <f t="shared" ref="B125:C125" si="32">D37</f>
        <v>21E0665350</v>
      </c>
      <c r="C125" s="56" t="str">
        <f t="shared" si="32"/>
        <v>Solfarma</v>
      </c>
      <c r="D125" s="75">
        <f t="shared" si="3"/>
        <v>1.2E-2</v>
      </c>
      <c r="E125" s="75">
        <f t="shared" si="4"/>
        <v>1.2308511340295638E-2</v>
      </c>
      <c r="F125" s="56" t="str">
        <f>VLOOKUP($B125,D37:G72,4,FALSE)</f>
        <v>Travessia</v>
      </c>
      <c r="G125" s="56" t="str">
        <f>VLOOKUP($B125,D37:G72,3,FALSE)</f>
        <v>Galpões Logísticos</v>
      </c>
      <c r="H125" s="56" t="str">
        <f>VLOOKUP($B125,D37:P72,13,FALSE)</f>
        <v>SP</v>
      </c>
      <c r="I125" s="84">
        <f>YEAR(VLOOKUP($B125,D37:Q72,14,FALSE))</f>
        <v>2026</v>
      </c>
      <c r="J125" s="56">
        <f t="shared" ca="1" si="5"/>
        <v>2026</v>
      </c>
      <c r="K125" s="56" t="str">
        <f>LEFT(H37,4)</f>
        <v>IPCA</v>
      </c>
      <c r="L125" s="75">
        <f t="shared" si="6"/>
        <v>0.46200000000000002</v>
      </c>
    </row>
    <row r="126" spans="1:12" s="76" customFormat="1" ht="24">
      <c r="A126" s="55"/>
      <c r="B126" s="83" t="str">
        <f t="shared" ref="B126:C126" si="33">D38</f>
        <v>21D0779652</v>
      </c>
      <c r="C126" s="56" t="str">
        <f t="shared" si="33"/>
        <v>Wimo</v>
      </c>
      <c r="D126" s="75">
        <f t="shared" si="3"/>
        <v>1.0999999999999999E-2</v>
      </c>
      <c r="E126" s="75">
        <f t="shared" si="4"/>
        <v>1.1161967495628729E-2</v>
      </c>
      <c r="F126" s="56" t="str">
        <f>VLOOKUP($B126,D38:G73,4,FALSE)</f>
        <v>Virgo</v>
      </c>
      <c r="G126" s="56" t="str">
        <f>VLOOKUP($B126,D38:G73,3,FALSE)</f>
        <v>Home Equity</v>
      </c>
      <c r="H126" s="56" t="str">
        <f>VLOOKUP($B126,D38:P73,13,FALSE)</f>
        <v>-</v>
      </c>
      <c r="I126" s="84">
        <f>YEAR(VLOOKUP($B126,D38:Q73,14,FALSE))</f>
        <v>2036</v>
      </c>
      <c r="J126" s="56">
        <f t="shared" ca="1" si="5"/>
        <v>2029</v>
      </c>
      <c r="K126" s="56" t="str">
        <f>LEFT(H38,4)</f>
        <v>IPCA</v>
      </c>
      <c r="L126" s="75">
        <f t="shared" si="6"/>
        <v>0.34</v>
      </c>
    </row>
    <row r="127" spans="1:12" s="76" customFormat="1" ht="24">
      <c r="A127" s="55"/>
      <c r="B127" s="83" t="str">
        <f t="shared" ref="B127:C127" si="34">D39</f>
        <v>23G0006401</v>
      </c>
      <c r="C127" s="56" t="str">
        <f t="shared" si="34"/>
        <v>Habitat</v>
      </c>
      <c r="D127" s="75">
        <f t="shared" si="3"/>
        <v>8.9999999999999993E-3</v>
      </c>
      <c r="E127" s="75">
        <f t="shared" si="4"/>
        <v>8.9434601060655195E-3</v>
      </c>
      <c r="F127" s="56" t="str">
        <f>VLOOKUP($B127,D39:G74,4,FALSE)</f>
        <v>True</v>
      </c>
      <c r="G127" s="56" t="str">
        <f>VLOOKUP($B127,D39:G74,3,FALSE)</f>
        <v>Residencial</v>
      </c>
      <c r="H127" s="56" t="str">
        <f>VLOOKUP($B127,D39:P74,13,FALSE)</f>
        <v>GO</v>
      </c>
      <c r="I127" s="84">
        <f>YEAR(VLOOKUP($B127,D39:Q74,14,FALSE))</f>
        <v>2033</v>
      </c>
      <c r="J127" s="56">
        <f t="shared" ca="1" si="5"/>
        <v>2031</v>
      </c>
      <c r="K127" s="56" t="str">
        <f>LEFT(H39,4)</f>
        <v>IPCA</v>
      </c>
      <c r="L127" s="75">
        <f t="shared" si="6"/>
        <v>0.42</v>
      </c>
    </row>
    <row r="128" spans="1:12" s="76" customFormat="1" ht="24">
      <c r="A128" s="55"/>
      <c r="B128" s="83" t="str">
        <f t="shared" ref="B128:C128" si="35">D40</f>
        <v>20J0837185</v>
      </c>
      <c r="C128" s="56" t="str">
        <f t="shared" si="35"/>
        <v>Creditas</v>
      </c>
      <c r="D128" s="75">
        <f t="shared" si="3"/>
        <v>8.0000000000000002E-3</v>
      </c>
      <c r="E128" s="75">
        <f t="shared" si="4"/>
        <v>7.7361453523531734E-3</v>
      </c>
      <c r="F128" s="56" t="str">
        <f>VLOOKUP($B128,D40:G75,4,FALSE)</f>
        <v>Vert</v>
      </c>
      <c r="G128" s="56" t="str">
        <f>VLOOKUP($B128,D40:G75,3,FALSE)</f>
        <v>Home Equity</v>
      </c>
      <c r="H128" s="56" t="str">
        <f>VLOOKUP($B128,D40:P75,13,FALSE)</f>
        <v>-</v>
      </c>
      <c r="I128" s="84">
        <f>YEAR(VLOOKUP($B128,D40:Q75,14,FALSE))</f>
        <v>2040</v>
      </c>
      <c r="J128" s="56">
        <f t="shared" ca="1" si="5"/>
        <v>2031</v>
      </c>
      <c r="K128" s="56" t="str">
        <f>LEFT(H40,4)</f>
        <v>IPCA</v>
      </c>
      <c r="L128" s="75">
        <f t="shared" si="6"/>
        <v>0.35580000000000001</v>
      </c>
    </row>
    <row r="129" spans="1:20" s="76" customFormat="1" ht="24">
      <c r="A129" s="55"/>
      <c r="B129" s="83" t="str">
        <f t="shared" ref="B129:B131" si="36">D41</f>
        <v>23D1293668</v>
      </c>
      <c r="C129" s="56" t="str">
        <f t="shared" ref="C129:C131" si="37">E41</f>
        <v>MS Incorporadora</v>
      </c>
      <c r="D129" s="75">
        <f t="shared" ref="D129:D131" si="38">SUMIF($D$10:$D$43,B129,$L$10:$L$43)</f>
        <v>7.0000000000000001E-3</v>
      </c>
      <c r="E129" s="75">
        <f t="shared" ref="E129:E131" si="39">SUMIF($D$10:$D$43,B129,$M$10:$M$43)</f>
        <v>6.7296037960173855E-3</v>
      </c>
      <c r="F129" s="56" t="str">
        <f t="shared" ref="F129:F131" si="40">VLOOKUP($B129,D41:G76,4,FALSE)</f>
        <v>Canal</v>
      </c>
      <c r="G129" s="56" t="str">
        <f t="shared" ref="G129:G131" si="41">VLOOKUP($B129,D41:G76,3,FALSE)</f>
        <v>Residencial</v>
      </c>
      <c r="H129" s="56" t="str">
        <f t="shared" ref="H129:H131" si="42">VLOOKUP($B129,D41:P76,13,FALSE)</f>
        <v>SC</v>
      </c>
      <c r="I129" s="84">
        <f t="shared" ref="I129:I131" si="43">YEAR(VLOOKUP($B129,D41:Q76,14,FALSE))</f>
        <v>2028</v>
      </c>
      <c r="J129" s="56">
        <f t="shared" ref="J129:J131" ca="1" si="44">YEAR(VLOOKUP(B129,$D$10:$N$43,11,FALSE)*365+TODAY())</f>
        <v>2028</v>
      </c>
      <c r="K129" s="56" t="str">
        <f t="shared" ref="K129:K131" si="45">LEFT(H41,4)</f>
        <v>IPCA</v>
      </c>
      <c r="L129" s="75">
        <f t="shared" ref="L129:L131" si="46">SUMIF($D$10:$D$43,B129,$O$10:$O$43)</f>
        <v>0.42</v>
      </c>
    </row>
    <row r="130" spans="1:20" s="76" customFormat="1" ht="24">
      <c r="A130" s="55"/>
      <c r="B130" s="83" t="str">
        <f t="shared" si="36"/>
        <v>23B0493519</v>
      </c>
      <c r="C130" s="56" t="str">
        <f t="shared" si="37"/>
        <v>ForGreen</v>
      </c>
      <c r="D130" s="75">
        <f t="shared" si="38"/>
        <v>5.0000000000000001E-3</v>
      </c>
      <c r="E130" s="75">
        <f t="shared" si="39"/>
        <v>4.7487713646018918E-3</v>
      </c>
      <c r="F130" s="56" t="str">
        <f t="shared" si="40"/>
        <v>Canal</v>
      </c>
      <c r="G130" s="56" t="str">
        <f t="shared" si="41"/>
        <v>Energia</v>
      </c>
      <c r="H130" s="56" t="str">
        <f t="shared" si="42"/>
        <v>MG</v>
      </c>
      <c r="I130" s="84">
        <f t="shared" si="43"/>
        <v>2033</v>
      </c>
      <c r="J130" s="56">
        <f t="shared" ca="1" si="44"/>
        <v>2028</v>
      </c>
      <c r="K130" s="56" t="str">
        <f t="shared" si="45"/>
        <v>IPCA</v>
      </c>
      <c r="L130" s="75">
        <f t="shared" si="46"/>
        <v>0</v>
      </c>
    </row>
    <row r="131" spans="1:20" s="76" customFormat="1" ht="24">
      <c r="A131" s="55"/>
      <c r="B131" s="83" t="str">
        <f t="shared" si="36"/>
        <v>21L0355069</v>
      </c>
      <c r="C131" s="56" t="str">
        <f t="shared" si="37"/>
        <v>Viracopos</v>
      </c>
      <c r="D131" s="75">
        <f t="shared" si="38"/>
        <v>4.0000000000000001E-3</v>
      </c>
      <c r="E131" s="75">
        <f t="shared" si="39"/>
        <v>4.3432643598699605E-3</v>
      </c>
      <c r="F131" s="56" t="str">
        <f t="shared" si="40"/>
        <v>True</v>
      </c>
      <c r="G131" s="56" t="str">
        <f t="shared" si="41"/>
        <v>Galpões Logísticos</v>
      </c>
      <c r="H131" s="56" t="str">
        <f t="shared" si="42"/>
        <v>SP</v>
      </c>
      <c r="I131" s="84">
        <f t="shared" si="43"/>
        <v>2031</v>
      </c>
      <c r="J131" s="56">
        <f t="shared" ca="1" si="44"/>
        <v>2028</v>
      </c>
      <c r="K131" s="56" t="str">
        <f t="shared" si="45"/>
        <v>IPCA</v>
      </c>
      <c r="L131" s="75">
        <f t="shared" si="46"/>
        <v>0.27</v>
      </c>
    </row>
    <row r="132" spans="1:20" s="55" customFormat="1"/>
    <row r="133" spans="1:20" s="55" customFormat="1"/>
    <row r="134" spans="1:20" s="55" customFormat="1" ht="34.5">
      <c r="B134" s="77" t="s">
        <v>53</v>
      </c>
      <c r="C134" s="77" t="s">
        <v>52</v>
      </c>
      <c r="D134" s="77" t="s">
        <v>51</v>
      </c>
      <c r="H134" s="77" t="s">
        <v>50</v>
      </c>
      <c r="K134" s="77" t="s">
        <v>49</v>
      </c>
      <c r="N134" s="77" t="s">
        <v>48</v>
      </c>
      <c r="Q134" s="77" t="s">
        <v>47</v>
      </c>
      <c r="R134" s="77"/>
      <c r="S134" s="77"/>
    </row>
    <row r="135" spans="1:20" s="55" customFormat="1" ht="17.25">
      <c r="B135" s="77">
        <v>2025</v>
      </c>
      <c r="C135" s="78">
        <f>COUNTIF($I$98:$I$131,B135)/34</f>
        <v>0</v>
      </c>
      <c r="D135" s="78">
        <f ca="1">COUNTIF($J$98:$J$131,B135)/32</f>
        <v>0</v>
      </c>
      <c r="F135" s="55" t="e" vm="1">
        <v>#VALUE!</v>
      </c>
      <c r="G135" s="56" t="s">
        <v>46</v>
      </c>
      <c r="H135" s="78">
        <f>SUMIFS($E$98:$E$131,$H$98:$H$131,G135)</f>
        <v>0.23482321347456672</v>
      </c>
      <c r="J135" s="56" t="s">
        <v>45</v>
      </c>
      <c r="K135" s="78">
        <f>SUMIFS($E$98:$E$131,$K$98:$K$131,$J135)</f>
        <v>0.8331038656924743</v>
      </c>
      <c r="M135" s="56" t="s">
        <v>44</v>
      </c>
      <c r="N135" s="78">
        <f>SUMIFS($E$98:$E$131,$G$98:$G$131,M135)</f>
        <v>0.23397949806067725</v>
      </c>
      <c r="P135" s="56" t="s">
        <v>43</v>
      </c>
      <c r="Q135" s="79">
        <f>SUMIFS($E$98:$E$131,$L$98:$L$131,"&gt;="&amp;S135,$L$98:$L$131,"&lt;="&amp;T135)</f>
        <v>0.15840733880123192</v>
      </c>
      <c r="R135" s="79"/>
      <c r="S135" s="79">
        <v>0</v>
      </c>
      <c r="T135" s="55">
        <v>0.25</v>
      </c>
    </row>
    <row r="136" spans="1:20" s="55" customFormat="1" ht="17.25">
      <c r="B136" s="84">
        <v>2026</v>
      </c>
      <c r="C136" s="78">
        <f>COUNTIF($I$98:$I$131,B136)/34</f>
        <v>8.8235294117647065E-2</v>
      </c>
      <c r="D136" s="78">
        <f ca="1">COUNTIF($J$98:$J$131,B136)/32</f>
        <v>0.125</v>
      </c>
      <c r="E136" s="56" t="s">
        <v>42</v>
      </c>
      <c r="F136" s="55" t="s">
        <v>41</v>
      </c>
      <c r="G136" s="56" t="s">
        <v>41</v>
      </c>
      <c r="H136" s="78">
        <f>SUMIFS($E$98:$E$131,$H$98:$H$131,E136)</f>
        <v>0.1168963294610683</v>
      </c>
      <c r="I136" s="56"/>
      <c r="J136" s="56" t="s">
        <v>40</v>
      </c>
      <c r="K136" s="78">
        <f>SUMIFS($E$98:$E$131,$K$98:$K$131,$J136)</f>
        <v>8.6604280122838745E-2</v>
      </c>
      <c r="L136" s="56"/>
      <c r="M136" s="56" t="s">
        <v>33</v>
      </c>
      <c r="N136" s="78">
        <f>SUMIFS($E$98:$E$131,$G$98:$G$131,M136)</f>
        <v>0.1656406209442407</v>
      </c>
      <c r="O136" s="56"/>
      <c r="P136" s="56" t="s">
        <v>38</v>
      </c>
      <c r="Q136" s="79">
        <f>SUMIFS($E$98:$E$131,$L$98:$L$131,"&gt;="&amp;S136,$L$98:$L$131,"&lt;="&amp;T136)</f>
        <v>0.45514595293700177</v>
      </c>
      <c r="R136" s="79"/>
      <c r="S136" s="79">
        <v>0.25001000000000001</v>
      </c>
      <c r="T136" s="55">
        <v>0.5</v>
      </c>
    </row>
    <row r="137" spans="1:20" s="55" customFormat="1" ht="17.25">
      <c r="B137" s="84">
        <v>2027</v>
      </c>
      <c r="C137" s="78">
        <f>COUNTIF($I$98:$I$131,B137)/34</f>
        <v>5.8823529411764705E-2</v>
      </c>
      <c r="D137" s="78">
        <f ca="1">COUNTIF($J$98:$J$131,B137)/32</f>
        <v>0.1875</v>
      </c>
      <c r="E137" s="56"/>
      <c r="F137" s="55" t="e" vm="2">
        <v>#VALUE!</v>
      </c>
      <c r="G137" s="56" t="s">
        <v>37</v>
      </c>
      <c r="H137" s="78">
        <f>SUMIFS($E$98:$E$131,$H$98:$H$131,G137)</f>
        <v>0.21059075355610749</v>
      </c>
      <c r="I137" s="56"/>
      <c r="J137" s="56" t="s">
        <v>217</v>
      </c>
      <c r="K137" s="78">
        <f>SUMIFS($E$98:$E$131,$K$98:$K$131,$J137)</f>
        <v>2.4591120483126904E-2</v>
      </c>
      <c r="L137" s="56"/>
      <c r="M137" s="56" t="s">
        <v>39</v>
      </c>
      <c r="N137" s="78">
        <f>SUMIFS($E$98:$E$131,$G$98:$G$131,M137)</f>
        <v>0.1898807143870174</v>
      </c>
      <c r="O137" s="56"/>
      <c r="P137" s="56" t="s">
        <v>35</v>
      </c>
      <c r="Q137" s="79">
        <f>SUMIFS($E$98:$E$131,$L$98:$L$131,"&gt;="&amp;S137,$L$98:$L$131,"&lt;="&amp;T137)</f>
        <v>0.29464415151636647</v>
      </c>
      <c r="R137" s="79"/>
      <c r="S137" s="79">
        <v>0.50000999999999995</v>
      </c>
      <c r="T137" s="55">
        <v>0.75</v>
      </c>
    </row>
    <row r="138" spans="1:20" s="55" customFormat="1" ht="17.25">
      <c r="B138" s="84">
        <v>2028</v>
      </c>
      <c r="C138" s="78">
        <f>COUNTIF($I$98:$I$131,B138)/34</f>
        <v>0.11764705882352941</v>
      </c>
      <c r="D138" s="78">
        <f ca="1">COUNTIF($J$98:$J$131,B138)/32</f>
        <v>0.40625</v>
      </c>
      <c r="E138" s="56"/>
      <c r="F138" s="55" t="e" vm="3">
        <v>#VALUE!</v>
      </c>
      <c r="G138" s="56" t="s">
        <v>34</v>
      </c>
      <c r="H138" s="78">
        <f>SUMIFS($E$98:$E$131,$H$98:$H$131,G138)</f>
        <v>8.0736017893594747E-2</v>
      </c>
      <c r="I138" s="56"/>
      <c r="J138" s="56"/>
      <c r="K138" s="56"/>
      <c r="L138" s="56"/>
      <c r="M138" s="56" t="s">
        <v>36</v>
      </c>
      <c r="N138" s="78">
        <f>SUMIFS($E$98:$E$131,$G$98:$G$131,M138)</f>
        <v>0.1418487573087519</v>
      </c>
      <c r="O138" s="56"/>
      <c r="P138" s="56" t="s">
        <v>32</v>
      </c>
      <c r="Q138" s="79">
        <f>SUMIFS($E$98:$E$131,$L$98:$L$131,"&gt;="&amp;S138,$L$98:$L$131,"&lt;="&amp;T138)</f>
        <v>3.6101823043839625E-2</v>
      </c>
      <c r="R138" s="79"/>
      <c r="S138" s="79">
        <v>0.75000100000000003</v>
      </c>
      <c r="T138" s="55">
        <v>1</v>
      </c>
    </row>
    <row r="139" spans="1:20" s="55" customFormat="1" ht="17.25">
      <c r="B139" s="84">
        <v>2029</v>
      </c>
      <c r="C139" s="78">
        <f>COUNTIF($I$98:$I$131,B139)/34</f>
        <v>0</v>
      </c>
      <c r="D139" s="78">
        <f ca="1">COUNTIF($J$98:$J$131,B139)/32</f>
        <v>0.125</v>
      </c>
      <c r="E139" s="56"/>
      <c r="F139" s="55" t="e" vm="4">
        <v>#VALUE!</v>
      </c>
      <c r="G139" s="56" t="s">
        <v>31</v>
      </c>
      <c r="H139" s="78">
        <f>SUMIFS($E$98:$E$131,$H$98:$H$131,G139)</f>
        <v>2.9435752035012714E-2</v>
      </c>
      <c r="I139" s="56"/>
      <c r="J139" s="56"/>
      <c r="K139" s="56"/>
      <c r="L139" s="56"/>
      <c r="M139" s="56" t="s">
        <v>30</v>
      </c>
      <c r="N139" s="78">
        <f>SUMIFS($E$98:$E$131,$G$98:$G$131,M139)</f>
        <v>0.10054947277999826</v>
      </c>
      <c r="O139" s="56"/>
      <c r="P139" s="56"/>
      <c r="Q139" s="56"/>
      <c r="R139" s="56"/>
      <c r="S139" s="56"/>
    </row>
    <row r="140" spans="1:20" s="55" customFormat="1" ht="17.25">
      <c r="B140" s="84">
        <v>2030</v>
      </c>
      <c r="C140" s="78">
        <f>COUNTIF($I$98:$I$131,B140)/34</f>
        <v>2.9411764705882353E-2</v>
      </c>
      <c r="D140" s="78">
        <f ca="1">COUNTIF($J$98:$J$131,B140)/32</f>
        <v>6.25E-2</v>
      </c>
      <c r="E140" s="56"/>
      <c r="F140" s="55" t="e" vm="5">
        <v>#VALUE!</v>
      </c>
      <c r="G140" s="56" t="s">
        <v>29</v>
      </c>
      <c r="H140" s="78">
        <f>SUMIFS($E$98:$E$131,$H$98:$H$131,G140)</f>
        <v>0.1006034444820825</v>
      </c>
      <c r="I140" s="56"/>
      <c r="J140" s="56"/>
      <c r="K140" s="56"/>
      <c r="L140" s="56"/>
      <c r="M140" s="56" t="s">
        <v>27</v>
      </c>
      <c r="N140" s="78">
        <f>SUMIFS($E$98:$E$131,$G$98:$G$131,M140)</f>
        <v>4.0500478404285008E-2</v>
      </c>
      <c r="O140" s="56"/>
      <c r="P140" s="56"/>
      <c r="Q140" s="56"/>
      <c r="R140" s="56"/>
      <c r="S140" s="56"/>
    </row>
    <row r="141" spans="1:20" s="55" customFormat="1" ht="17.25">
      <c r="B141" s="84">
        <v>2031</v>
      </c>
      <c r="C141" s="78">
        <f>COUNTIF($I$98:$I$131,B141)/34</f>
        <v>0.14705882352941177</v>
      </c>
      <c r="D141" s="78">
        <f ca="1">COUNTIF($J$98:$J$131,B141)/32</f>
        <v>0.125</v>
      </c>
      <c r="E141" s="56"/>
      <c r="F141" s="55" t="e" vm="6">
        <v>#VALUE!</v>
      </c>
      <c r="G141" s="56" t="s">
        <v>28</v>
      </c>
      <c r="H141" s="78">
        <f>SUMIFS($E$98:$E$131,$H$98:$H$131,G141)</f>
        <v>6.3955757320557013E-2</v>
      </c>
      <c r="I141" s="56"/>
      <c r="J141" s="56"/>
      <c r="K141" s="56"/>
      <c r="L141" s="56"/>
      <c r="M141" s="56" t="s">
        <v>25</v>
      </c>
      <c r="N141" s="78">
        <f>SUMIFS($E$98:$E$131,$G$98:$G$131,M141)</f>
        <v>3.1962563662370103E-2</v>
      </c>
      <c r="O141" s="56"/>
      <c r="P141" s="56"/>
      <c r="Q141" s="56"/>
      <c r="R141" s="56"/>
      <c r="S141" s="56"/>
    </row>
    <row r="142" spans="1:20" s="55" customFormat="1" ht="17.25">
      <c r="B142" s="84">
        <v>2032</v>
      </c>
      <c r="C142" s="78">
        <f>COUNTIF($I$98:$I$131,B142)/34</f>
        <v>8.8235294117647065E-2</v>
      </c>
      <c r="D142" s="78">
        <f ca="1">COUNTIF($J$98:$J$131,B142)/32</f>
        <v>3.125E-2</v>
      </c>
      <c r="E142" s="56"/>
      <c r="F142" s="55" t="e" vm="7">
        <v>#VALUE!</v>
      </c>
      <c r="G142" s="56" t="s">
        <v>26</v>
      </c>
      <c r="H142" s="78">
        <f>SUMIFS($E$98:$E$131,$H$98:$H$131,G142)</f>
        <v>2.8276827687966497E-2</v>
      </c>
      <c r="I142" s="56"/>
      <c r="J142" s="56"/>
      <c r="K142" s="56"/>
      <c r="L142" s="56"/>
      <c r="M142" s="56" t="s">
        <v>21</v>
      </c>
      <c r="N142" s="78">
        <f>SUMIFS($E$98:$E$131,$G$98:$G$131,M142)</f>
        <v>3.9937160751099279E-2</v>
      </c>
      <c r="O142" s="56"/>
      <c r="P142" s="56"/>
      <c r="Q142" s="56"/>
      <c r="R142" s="56"/>
      <c r="S142" s="56"/>
    </row>
    <row r="143" spans="1:20" s="55" customFormat="1" ht="17.25">
      <c r="B143" s="84" t="s">
        <v>24</v>
      </c>
      <c r="C143" s="78">
        <f>COUNTIF($I$98:$I$131,"&gt;"&amp;B142)/34</f>
        <v>0.47058823529411764</v>
      </c>
      <c r="D143" s="78">
        <f ca="1">COUNTIF($J$98:$J$131,B143)/32</f>
        <v>0</v>
      </c>
      <c r="E143" s="56"/>
      <c r="F143" s="55" t="e" vm="8">
        <v>#VALUE!</v>
      </c>
      <c r="G143" s="56" t="s">
        <v>23</v>
      </c>
      <c r="H143" s="78">
        <f>SUMIFS($E$98:$E$131,$H$98:$H$131,G143)</f>
        <v>2.3146773291529751E-2</v>
      </c>
      <c r="I143" s="56"/>
      <c r="J143" s="56"/>
      <c r="K143" s="56"/>
      <c r="L143" s="56"/>
      <c r="M143" s="56"/>
      <c r="N143" s="78"/>
      <c r="O143" s="56"/>
      <c r="P143" s="56"/>
      <c r="Q143" s="56"/>
      <c r="R143" s="56"/>
      <c r="S143" s="56"/>
    </row>
    <row r="144" spans="1:20" s="55" customFormat="1" ht="17.25">
      <c r="B144" s="56"/>
      <c r="C144" s="56"/>
      <c r="D144" s="56"/>
      <c r="E144" s="56"/>
      <c r="F144" s="55" t="e" vm="9">
        <v>#VALUE!</v>
      </c>
      <c r="G144" s="56" t="s">
        <v>22</v>
      </c>
      <c r="H144" s="78">
        <f>SUMIFS($E$98:$E$131,$H$98:$H$131,G144)</f>
        <v>2.3780538017123203E-2</v>
      </c>
      <c r="I144" s="56"/>
      <c r="J144" s="56"/>
      <c r="K144" s="56"/>
      <c r="L144" s="56"/>
      <c r="O144" s="56"/>
      <c r="P144" s="56"/>
      <c r="Q144" s="56"/>
      <c r="R144" s="56"/>
      <c r="S144" s="56"/>
    </row>
    <row r="145" spans="2:19" s="55" customFormat="1" ht="17.25">
      <c r="B145" s="56"/>
      <c r="C145" s="56"/>
      <c r="D145" s="56"/>
      <c r="E145" s="56"/>
      <c r="F145" s="55" t="e" vm="10">
        <v>#VALUE!</v>
      </c>
      <c r="G145" s="56" t="s">
        <v>20</v>
      </c>
      <c r="H145" s="78">
        <f>SUMIFS($E$98:$E$131,$H$98:$H$131,G145)</f>
        <v>3.2053859078830974E-2</v>
      </c>
      <c r="I145" s="56"/>
      <c r="J145" s="56"/>
      <c r="K145" s="56"/>
      <c r="L145" s="56"/>
      <c r="O145" s="56"/>
      <c r="P145" s="56"/>
      <c r="Q145" s="56"/>
      <c r="R145" s="56"/>
      <c r="S145" s="56"/>
    </row>
    <row r="146" spans="2:19" s="55" customFormat="1" ht="16.5">
      <c r="B146" s="56"/>
      <c r="C146" s="56"/>
      <c r="D146" s="56"/>
      <c r="H146" s="56"/>
      <c r="I146" s="56"/>
      <c r="J146" s="56"/>
      <c r="K146" s="56"/>
      <c r="O146" s="56"/>
      <c r="P146" s="56"/>
    </row>
    <row r="147" spans="2:19" s="55" customFormat="1" ht="16.5">
      <c r="B147" s="56"/>
      <c r="C147" s="56"/>
      <c r="D147" s="56"/>
      <c r="E147" s="56"/>
      <c r="G147" s="56"/>
      <c r="H147" s="56"/>
      <c r="I147" s="56"/>
      <c r="J147" s="56"/>
      <c r="K147" s="56"/>
      <c r="M147" s="56"/>
      <c r="N147" s="56"/>
      <c r="O147" s="56"/>
      <c r="P147" s="56"/>
    </row>
    <row r="148" spans="2:19" s="55" customFormat="1" ht="16.5">
      <c r="B148" s="56"/>
      <c r="C148" s="56"/>
      <c r="D148" s="56"/>
      <c r="E148" s="56"/>
      <c r="G148" s="56"/>
      <c r="H148" s="56"/>
      <c r="I148" s="56"/>
      <c r="J148" s="56"/>
      <c r="K148" s="56"/>
      <c r="M148" s="56"/>
      <c r="N148" s="56"/>
      <c r="O148" s="56"/>
      <c r="P148" s="56"/>
    </row>
    <row r="149" spans="2:19" s="55" customFormat="1" ht="16.5">
      <c r="B149" s="56"/>
      <c r="C149" s="56"/>
      <c r="D149" s="56"/>
      <c r="E149" s="56"/>
      <c r="G149" s="56"/>
      <c r="H149" s="56"/>
      <c r="I149" s="56"/>
      <c r="J149" s="56"/>
      <c r="K149" s="56"/>
      <c r="M149" s="56"/>
      <c r="N149" s="56"/>
      <c r="O149" s="56"/>
      <c r="P149" s="56"/>
    </row>
    <row r="150" spans="2:19" s="55" customFormat="1" ht="16.5">
      <c r="B150" s="56"/>
      <c r="C150" s="56"/>
      <c r="D150" s="56"/>
      <c r="E150" s="56"/>
      <c r="G150" s="56"/>
      <c r="H150" s="56"/>
      <c r="I150" s="56"/>
      <c r="J150" s="56"/>
      <c r="K150" s="56"/>
      <c r="M150" s="56"/>
      <c r="N150" s="56"/>
      <c r="O150" s="56"/>
      <c r="P150" s="56"/>
    </row>
    <row r="151" spans="2:19" s="55" customFormat="1" ht="16.5">
      <c r="B151" s="56"/>
      <c r="C151" s="56"/>
      <c r="D151" s="56"/>
      <c r="E151" s="56"/>
      <c r="G151" s="56"/>
      <c r="H151" s="56"/>
      <c r="I151" s="56"/>
      <c r="J151" s="56"/>
      <c r="K151" s="56"/>
      <c r="M151" s="56"/>
      <c r="N151" s="56"/>
      <c r="O151" s="56"/>
      <c r="P151" s="56"/>
    </row>
    <row r="152" spans="2:19" s="55" customFormat="1" ht="16.5">
      <c r="B152" s="56"/>
      <c r="C152" s="56"/>
      <c r="D152" s="56"/>
      <c r="E152" s="56"/>
      <c r="G152" s="56"/>
      <c r="H152" s="56"/>
      <c r="I152" s="56"/>
      <c r="J152" s="56"/>
      <c r="K152" s="56"/>
      <c r="M152" s="56"/>
      <c r="N152" s="56"/>
      <c r="O152" s="56"/>
      <c r="P152" s="56"/>
    </row>
    <row r="153" spans="2:19" s="55" customFormat="1" ht="16.5">
      <c r="B153" s="56"/>
      <c r="C153" s="56"/>
      <c r="D153" s="56"/>
      <c r="E153" s="56"/>
      <c r="G153" s="56"/>
      <c r="H153" s="56"/>
      <c r="I153" s="56"/>
      <c r="J153" s="56"/>
      <c r="K153" s="56"/>
      <c r="M153" s="56"/>
      <c r="N153" s="56"/>
      <c r="O153" s="56"/>
      <c r="P153" s="56"/>
    </row>
    <row r="154" spans="2:19" s="55" customFormat="1" ht="16.5">
      <c r="B154" s="56"/>
      <c r="C154" s="56"/>
      <c r="D154" s="56"/>
      <c r="E154" s="56"/>
      <c r="G154" s="56"/>
      <c r="H154" s="56"/>
      <c r="I154" s="56"/>
      <c r="J154" s="56"/>
      <c r="K154" s="56"/>
      <c r="M154" s="56"/>
      <c r="N154" s="56"/>
      <c r="O154" s="56"/>
      <c r="P154" s="56"/>
    </row>
    <row r="155" spans="2:19" s="52" customFormat="1" ht="16.5">
      <c r="B155" s="53"/>
      <c r="C155" s="56"/>
      <c r="D155" s="56"/>
      <c r="E155" s="56"/>
      <c r="F155" s="55"/>
      <c r="G155" s="56"/>
      <c r="H155" s="56"/>
      <c r="I155" s="56"/>
      <c r="J155" s="56"/>
      <c r="K155" s="56"/>
      <c r="L155" s="55"/>
      <c r="M155" s="56"/>
      <c r="N155" s="56"/>
      <c r="O155" s="56"/>
      <c r="P155" s="56"/>
      <c r="Q155" s="55"/>
      <c r="R155" s="55"/>
    </row>
    <row r="156" spans="2:19" s="52" customFormat="1" ht="16.5">
      <c r="B156" s="53"/>
      <c r="C156" s="56"/>
      <c r="D156" s="56"/>
      <c r="E156" s="56"/>
      <c r="F156" s="55"/>
      <c r="G156" s="56"/>
      <c r="H156" s="56"/>
      <c r="I156" s="56"/>
      <c r="J156" s="56"/>
      <c r="K156" s="56"/>
      <c r="L156" s="55"/>
      <c r="M156" s="56"/>
      <c r="N156" s="56"/>
      <c r="O156" s="56"/>
      <c r="P156" s="56"/>
      <c r="Q156" s="55"/>
      <c r="R156" s="55"/>
    </row>
    <row r="157" spans="2:19" s="52" customFormat="1" ht="15" customHeight="1">
      <c r="C157" s="55"/>
      <c r="D157" s="55"/>
      <c r="E157" s="55"/>
      <c r="F157" s="55"/>
      <c r="G157" s="55"/>
      <c r="H157" s="55"/>
      <c r="I157" s="55"/>
      <c r="J157" s="55"/>
      <c r="K157" s="55"/>
      <c r="L157" s="55"/>
      <c r="M157" s="55"/>
      <c r="N157" s="55"/>
      <c r="O157" s="55"/>
      <c r="P157" s="55"/>
      <c r="Q157" s="55"/>
      <c r="R157" s="55"/>
    </row>
    <row r="158" spans="2:19" s="52" customFormat="1">
      <c r="C158" s="55"/>
      <c r="D158" s="55"/>
      <c r="E158" s="55"/>
      <c r="F158" s="55"/>
      <c r="G158" s="55"/>
      <c r="H158" s="55"/>
      <c r="I158" s="55"/>
      <c r="J158" s="55"/>
      <c r="K158" s="55"/>
      <c r="L158" s="55"/>
      <c r="M158" s="55"/>
      <c r="N158" s="55"/>
      <c r="O158" s="55"/>
      <c r="P158" s="55"/>
      <c r="Q158" s="55"/>
      <c r="R158" s="55"/>
    </row>
    <row r="159" spans="2:19" s="52" customFormat="1">
      <c r="C159" s="55"/>
      <c r="D159" s="55"/>
      <c r="E159" s="55"/>
      <c r="F159" s="55"/>
      <c r="G159" s="55"/>
      <c r="H159" s="55"/>
      <c r="I159" s="55"/>
      <c r="J159" s="55"/>
      <c r="K159" s="55"/>
      <c r="L159" s="55"/>
      <c r="M159" s="55"/>
      <c r="N159" s="55"/>
      <c r="O159" s="55"/>
      <c r="P159" s="55"/>
      <c r="Q159" s="55"/>
      <c r="R159" s="55"/>
    </row>
    <row r="160" spans="2:19" s="52" customFormat="1">
      <c r="C160" s="55"/>
      <c r="D160" s="55"/>
      <c r="E160" s="55"/>
      <c r="F160" s="55"/>
      <c r="G160" s="55"/>
      <c r="H160" s="55"/>
      <c r="I160" s="55"/>
      <c r="J160" s="55"/>
      <c r="K160" s="55"/>
      <c r="L160" s="55"/>
      <c r="M160" s="55"/>
      <c r="N160" s="55"/>
      <c r="O160" s="55"/>
      <c r="P160" s="55"/>
      <c r="Q160" s="55"/>
      <c r="R160" s="55"/>
    </row>
  </sheetData>
  <sortState xmlns:xlrd2="http://schemas.microsoft.com/office/spreadsheetml/2017/richdata2" ref="C10:S41">
    <sortCondition descending="1" ref="L10:L41"/>
  </sortState>
  <pageMargins left="0.7" right="0.7" top="0.75" bottom="0.75" header="0.3" footer="0.3"/>
  <pageSetup paperSize="9" orientation="portrait" r:id="rId1"/>
  <ignoredErrors>
    <ignoredError sqref="H13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1A5C3-D729-4347-ADE7-3A625F5538B2}">
  <dimension ref="A1:W103"/>
  <sheetViews>
    <sheetView showGridLines="0" zoomScale="90" zoomScaleNormal="90" workbookViewId="0">
      <selection activeCell="L6" sqref="L6"/>
    </sheetView>
  </sheetViews>
  <sheetFormatPr defaultColWidth="10.7109375" defaultRowHeight="17.45" customHeight="1"/>
  <cols>
    <col min="1" max="1" width="1.7109375" style="4" customWidth="1"/>
    <col min="2" max="4" width="10.7109375" style="4"/>
    <col min="5" max="5" width="13.5703125" style="4" customWidth="1"/>
    <col min="6" max="7" width="0.85546875" style="12" customWidth="1"/>
    <col min="8" max="19" width="16.42578125" style="4" bestFit="1" customWidth="1"/>
    <col min="20" max="20" width="1.28515625" style="12" customWidth="1"/>
    <col min="21" max="21" width="15.7109375" style="4" customWidth="1"/>
    <col min="22" max="22" width="10.7109375" style="4"/>
    <col min="23" max="23" width="12.140625" style="4" hidden="1" customWidth="1"/>
    <col min="24" max="24" width="13.7109375" style="4" bestFit="1" customWidth="1"/>
    <col min="25" max="16384" width="10.7109375" style="4"/>
  </cols>
  <sheetData>
    <row r="1" spans="1:23" s="1" customFormat="1" ht="15.75">
      <c r="A1" s="4"/>
      <c r="B1" s="10"/>
    </row>
    <row r="2" spans="1:23" s="1" customFormat="1" ht="15.75">
      <c r="A2" s="4"/>
      <c r="B2" s="10"/>
      <c r="H2" s="51"/>
    </row>
    <row r="3" spans="1:23" s="1" customFormat="1" ht="15.75">
      <c r="A3" s="4"/>
      <c r="B3" s="10"/>
      <c r="H3" s="51"/>
    </row>
    <row r="4" spans="1:23" s="1" customFormat="1" ht="15.75">
      <c r="A4" s="4"/>
      <c r="B4" s="10"/>
    </row>
    <row r="5" spans="1:23" s="1" customFormat="1" ht="20.25">
      <c r="A5" s="4"/>
      <c r="B5" s="11" t="s">
        <v>19</v>
      </c>
    </row>
    <row r="6" spans="1:23" s="1" customFormat="1" ht="15.75">
      <c r="A6" s="4"/>
      <c r="B6" s="10"/>
      <c r="H6" s="48"/>
      <c r="I6" s="48"/>
      <c r="J6" s="48"/>
      <c r="K6" s="48"/>
      <c r="L6" s="48"/>
      <c r="M6" s="48"/>
    </row>
    <row r="7" spans="1:23" s="1" customFormat="1" ht="18">
      <c r="A7" s="4"/>
      <c r="B7" s="7" t="s">
        <v>162</v>
      </c>
      <c r="H7" s="50"/>
      <c r="I7" s="50"/>
      <c r="J7" s="50"/>
      <c r="K7" s="50"/>
      <c r="L7" s="50"/>
      <c r="M7" s="50"/>
      <c r="N7" s="48"/>
      <c r="O7" s="48"/>
      <c r="P7" s="48"/>
      <c r="Q7" s="48"/>
      <c r="R7" s="48"/>
      <c r="S7" s="48"/>
    </row>
    <row r="8" spans="1:23" s="1" customFormat="1" ht="6.95" customHeight="1">
      <c r="A8" s="4"/>
      <c r="B8" s="7"/>
    </row>
    <row r="9" spans="1:23" ht="24.95" customHeight="1">
      <c r="B9" s="21" t="s">
        <v>212</v>
      </c>
      <c r="C9" s="20"/>
      <c r="D9" s="20"/>
      <c r="E9" s="20"/>
      <c r="F9" s="18"/>
      <c r="G9" s="18"/>
      <c r="H9" s="19">
        <v>45658</v>
      </c>
      <c r="I9" s="19">
        <f>EDATE(H9,1)</f>
        <v>45689</v>
      </c>
      <c r="J9" s="19">
        <f t="shared" ref="J9:S9" si="0">EDATE(I9,1)</f>
        <v>45717</v>
      </c>
      <c r="K9" s="19">
        <f t="shared" si="0"/>
        <v>45748</v>
      </c>
      <c r="L9" s="19">
        <f t="shared" si="0"/>
        <v>45778</v>
      </c>
      <c r="M9" s="19">
        <f t="shared" si="0"/>
        <v>45809</v>
      </c>
      <c r="N9" s="19">
        <f t="shared" si="0"/>
        <v>45839</v>
      </c>
      <c r="O9" s="19">
        <f t="shared" si="0"/>
        <v>45870</v>
      </c>
      <c r="P9" s="19">
        <f t="shared" si="0"/>
        <v>45901</v>
      </c>
      <c r="Q9" s="19">
        <f t="shared" si="0"/>
        <v>45931</v>
      </c>
      <c r="R9" s="19">
        <f t="shared" si="0"/>
        <v>45962</v>
      </c>
      <c r="S9" s="19">
        <f t="shared" si="0"/>
        <v>45992</v>
      </c>
      <c r="T9" s="18"/>
      <c r="U9" s="17">
        <v>2025</v>
      </c>
    </row>
    <row r="10" spans="1:23" ht="3" customHeight="1">
      <c r="B10" s="16"/>
      <c r="C10" s="15"/>
      <c r="D10" s="15"/>
      <c r="E10" s="15"/>
      <c r="H10" s="14"/>
      <c r="I10" s="14"/>
      <c r="J10" s="14"/>
      <c r="K10" s="14"/>
      <c r="L10" s="14"/>
      <c r="M10" s="14"/>
      <c r="N10" s="14"/>
      <c r="O10" s="14"/>
      <c r="P10" s="14"/>
      <c r="Q10" s="14"/>
      <c r="R10" s="14"/>
      <c r="S10" s="14"/>
      <c r="U10" s="14"/>
    </row>
    <row r="11" spans="1:23" ht="3" customHeight="1">
      <c r="B11" s="16"/>
      <c r="C11" s="15"/>
      <c r="D11" s="15"/>
      <c r="E11" s="15"/>
      <c r="H11" s="14"/>
      <c r="I11" s="14"/>
      <c r="J11" s="14"/>
      <c r="K11" s="14"/>
      <c r="L11" s="14"/>
      <c r="M11" s="14"/>
      <c r="N11" s="14"/>
      <c r="O11" s="14"/>
      <c r="P11" s="14"/>
      <c r="Q11" s="14"/>
      <c r="R11" s="14"/>
      <c r="S11" s="14"/>
      <c r="U11" s="14"/>
    </row>
    <row r="12" spans="1:23" ht="17.45" customHeight="1">
      <c r="B12" s="35" t="s">
        <v>152</v>
      </c>
      <c r="C12" s="35"/>
      <c r="D12" s="35"/>
      <c r="E12" s="35"/>
      <c r="H12" s="36">
        <f>SUM(H13:H15)</f>
        <v>1478675.0538315999</v>
      </c>
      <c r="I12" s="36">
        <f>SUM(I13:I15)</f>
        <v>1009456.9423129042</v>
      </c>
      <c r="J12" s="36">
        <f>SUM(J13:J15)</f>
        <v>818944</v>
      </c>
      <c r="K12" s="36">
        <f>SUM(K13:K15)</f>
        <v>1406724.9212311008</v>
      </c>
      <c r="L12" s="36"/>
      <c r="M12" s="36"/>
      <c r="N12" s="36"/>
      <c r="O12" s="36"/>
      <c r="P12" s="36"/>
      <c r="Q12" s="36"/>
      <c r="R12" s="36"/>
      <c r="S12" s="36"/>
      <c r="U12" s="36">
        <f t="shared" ref="U12:U22" si="1">SUM(H12:S12)</f>
        <v>4713800.9173756056</v>
      </c>
      <c r="W12" s="45">
        <f>SUM(H12:U12)-SUM(H13:U15)</f>
        <v>0</v>
      </c>
    </row>
    <row r="13" spans="1:23" ht="17.45" customHeight="1">
      <c r="B13" s="37" t="s">
        <v>151</v>
      </c>
      <c r="C13" s="37"/>
      <c r="D13" s="37"/>
      <c r="E13" s="37"/>
      <c r="H13" s="38">
        <v>731370.52279074013</v>
      </c>
      <c r="I13" s="38">
        <v>780467.25999999978</v>
      </c>
      <c r="J13" s="38">
        <v>665470</v>
      </c>
      <c r="K13" s="38">
        <v>827886.10634920432</v>
      </c>
      <c r="L13" s="38"/>
      <c r="M13" s="38"/>
      <c r="N13" s="38"/>
      <c r="O13" s="38"/>
      <c r="P13" s="38"/>
      <c r="Q13" s="38"/>
      <c r="R13" s="38"/>
      <c r="S13" s="38"/>
      <c r="U13" s="38">
        <f t="shared" si="1"/>
        <v>3005193.8891399442</v>
      </c>
      <c r="W13" s="45"/>
    </row>
    <row r="14" spans="1:23" ht="17.45" customHeight="1">
      <c r="B14" s="37" t="s">
        <v>150</v>
      </c>
      <c r="C14" s="37"/>
      <c r="D14" s="37"/>
      <c r="E14" s="37"/>
      <c r="H14" s="38">
        <v>329578.0810408598</v>
      </c>
      <c r="I14" s="38">
        <v>228989.68231290445</v>
      </c>
      <c r="J14" s="38">
        <v>153474</v>
      </c>
      <c r="K14" s="38">
        <v>439482.42336189735</v>
      </c>
      <c r="L14" s="38"/>
      <c r="M14" s="38"/>
      <c r="N14" s="38"/>
      <c r="O14" s="38"/>
      <c r="P14" s="38"/>
      <c r="Q14" s="38"/>
      <c r="R14" s="38"/>
      <c r="S14" s="38"/>
      <c r="U14" s="38">
        <f t="shared" si="1"/>
        <v>1151524.1867156615</v>
      </c>
      <c r="W14" s="45"/>
    </row>
    <row r="15" spans="1:23" ht="17.45" customHeight="1">
      <c r="B15" s="37" t="s">
        <v>149</v>
      </c>
      <c r="C15" s="37"/>
      <c r="D15" s="37"/>
      <c r="E15" s="37"/>
      <c r="H15" s="38">
        <v>417726.45</v>
      </c>
      <c r="I15" s="38">
        <v>0</v>
      </c>
      <c r="J15" s="38">
        <v>0</v>
      </c>
      <c r="K15" s="38">
        <v>139356.39151999907</v>
      </c>
      <c r="L15" s="38"/>
      <c r="M15" s="38"/>
      <c r="N15" s="38"/>
      <c r="O15" s="38"/>
      <c r="P15" s="38"/>
      <c r="Q15" s="38"/>
      <c r="R15" s="38"/>
      <c r="S15" s="38"/>
      <c r="U15" s="38">
        <f t="shared" si="1"/>
        <v>557082.84151999908</v>
      </c>
      <c r="W15" s="45"/>
    </row>
    <row r="16" spans="1:23" ht="17.45" customHeight="1">
      <c r="B16" s="35" t="s">
        <v>148</v>
      </c>
      <c r="C16" s="35"/>
      <c r="D16" s="35"/>
      <c r="E16" s="35"/>
      <c r="H16" s="36">
        <f>H17+H18</f>
        <v>89607.610000000015</v>
      </c>
      <c r="I16" s="36">
        <f>I17+I18</f>
        <v>102995.35</v>
      </c>
      <c r="J16" s="36">
        <f>J17+J18</f>
        <v>108755</v>
      </c>
      <c r="K16" s="36">
        <f>K17+K18</f>
        <v>73576.89</v>
      </c>
      <c r="L16" s="36"/>
      <c r="M16" s="36"/>
      <c r="N16" s="36"/>
      <c r="O16" s="36"/>
      <c r="P16" s="36"/>
      <c r="Q16" s="36"/>
      <c r="R16" s="36"/>
      <c r="S16" s="36"/>
      <c r="U16" s="36">
        <f t="shared" si="1"/>
        <v>374934.85000000003</v>
      </c>
      <c r="W16" s="45">
        <f>SUM(H16:U16)-SUM(H17:U18)</f>
        <v>0</v>
      </c>
    </row>
    <row r="17" spans="2:23" ht="17.45" customHeight="1">
      <c r="B17" s="37" t="s">
        <v>147</v>
      </c>
      <c r="C17" s="37"/>
      <c r="D17" s="37"/>
      <c r="E17" s="37"/>
      <c r="H17" s="38">
        <v>45000</v>
      </c>
      <c r="I17" s="38">
        <v>45000</v>
      </c>
      <c r="J17" s="38">
        <v>45000</v>
      </c>
      <c r="K17" s="38">
        <v>45000</v>
      </c>
      <c r="L17" s="38"/>
      <c r="M17" s="38"/>
      <c r="N17" s="38"/>
      <c r="O17" s="38"/>
      <c r="P17" s="38"/>
      <c r="Q17" s="38"/>
      <c r="R17" s="38"/>
      <c r="S17" s="38"/>
      <c r="U17" s="38">
        <f t="shared" si="1"/>
        <v>180000</v>
      </c>
      <c r="W17" s="45"/>
    </row>
    <row r="18" spans="2:23" ht="17.45" customHeight="1">
      <c r="B18" s="37" t="s">
        <v>146</v>
      </c>
      <c r="C18" s="37"/>
      <c r="D18" s="37"/>
      <c r="E18" s="37"/>
      <c r="H18" s="38">
        <v>44607.610000000008</v>
      </c>
      <c r="I18" s="38">
        <v>57995.35</v>
      </c>
      <c r="J18" s="38">
        <v>63755</v>
      </c>
      <c r="K18" s="38">
        <v>28576.89</v>
      </c>
      <c r="L18" s="38"/>
      <c r="M18" s="38"/>
      <c r="N18" s="38"/>
      <c r="O18" s="38"/>
      <c r="P18" s="38"/>
      <c r="Q18" s="38"/>
      <c r="R18" s="38"/>
      <c r="S18" s="38"/>
      <c r="U18" s="38">
        <f t="shared" si="1"/>
        <v>194934.85000000003</v>
      </c>
      <c r="W18" s="45"/>
    </row>
    <row r="19" spans="2:23" ht="17.45" customHeight="1">
      <c r="B19" s="35" t="s">
        <v>145</v>
      </c>
      <c r="C19" s="35"/>
      <c r="D19" s="35"/>
      <c r="E19" s="35"/>
      <c r="H19" s="36">
        <f>H20</f>
        <v>-99624.58</v>
      </c>
      <c r="I19" s="36">
        <f>I20</f>
        <v>-152097.11569999999</v>
      </c>
      <c r="J19" s="36">
        <f>J20</f>
        <v>-112495</v>
      </c>
      <c r="K19" s="36">
        <f>K20</f>
        <v>-117155.07053333</v>
      </c>
      <c r="L19" s="36"/>
      <c r="M19" s="36"/>
      <c r="N19" s="36"/>
      <c r="O19" s="36"/>
      <c r="P19" s="36"/>
      <c r="Q19" s="36"/>
      <c r="R19" s="36"/>
      <c r="S19" s="36"/>
      <c r="U19" s="36">
        <f t="shared" si="1"/>
        <v>-481371.76623333001</v>
      </c>
      <c r="W19" s="45">
        <f>SUM(H19:U19)-SUM(H20:U20)</f>
        <v>0</v>
      </c>
    </row>
    <row r="20" spans="2:23" ht="17.45" customHeight="1">
      <c r="B20" s="37" t="s">
        <v>144</v>
      </c>
      <c r="C20" s="37"/>
      <c r="D20" s="37"/>
      <c r="E20" s="37"/>
      <c r="H20" s="38">
        <v>-99624.58</v>
      </c>
      <c r="I20" s="38">
        <v>-152097.11569999999</v>
      </c>
      <c r="J20" s="38">
        <v>-112495</v>
      </c>
      <c r="K20" s="38">
        <v>-117155.07053333</v>
      </c>
      <c r="L20" s="38"/>
      <c r="M20" s="38"/>
      <c r="N20" s="38"/>
      <c r="O20" s="38"/>
      <c r="P20" s="38"/>
      <c r="Q20" s="38"/>
      <c r="R20" s="38"/>
      <c r="S20" s="38"/>
      <c r="U20" s="38">
        <f t="shared" si="1"/>
        <v>-481371.76623333001</v>
      </c>
      <c r="W20" s="45"/>
    </row>
    <row r="21" spans="2:23" ht="17.45" customHeight="1">
      <c r="B21" s="35" t="s">
        <v>143</v>
      </c>
      <c r="C21" s="35"/>
      <c r="D21" s="35"/>
      <c r="E21" s="35"/>
      <c r="H21" s="36">
        <f>H12+H16+H19</f>
        <v>1468658.0838315999</v>
      </c>
      <c r="I21" s="36">
        <f>I12+I16+I19</f>
        <v>960355.1766129043</v>
      </c>
      <c r="J21" s="36">
        <f>J12+J16+J19</f>
        <v>815204</v>
      </c>
      <c r="K21" s="36">
        <f>K12+K16+K19</f>
        <v>1363146.7406977706</v>
      </c>
      <c r="L21" s="36"/>
      <c r="M21" s="36"/>
      <c r="N21" s="36"/>
      <c r="O21" s="36"/>
      <c r="P21" s="36"/>
      <c r="Q21" s="36"/>
      <c r="R21" s="36"/>
      <c r="S21" s="36"/>
      <c r="U21" s="36">
        <f t="shared" si="1"/>
        <v>4607364.0011422746</v>
      </c>
      <c r="W21" s="45">
        <f>SUM(H12:U12,H16:U16,H19:U19)-SUM(H21:U21)</f>
        <v>0</v>
      </c>
    </row>
    <row r="22" spans="2:23" ht="17.45" customHeight="1">
      <c r="B22" s="39" t="s">
        <v>142</v>
      </c>
      <c r="C22" s="39"/>
      <c r="D22" s="39"/>
      <c r="E22" s="39"/>
      <c r="H22" s="40">
        <v>1090931.5</v>
      </c>
      <c r="I22" s="40">
        <v>1090931.5</v>
      </c>
      <c r="J22" s="40">
        <v>1090931.5</v>
      </c>
      <c r="K22" s="40">
        <v>1090931.5</v>
      </c>
      <c r="L22" s="40"/>
      <c r="M22" s="40"/>
      <c r="N22" s="40"/>
      <c r="O22" s="40"/>
      <c r="P22" s="40"/>
      <c r="Q22" s="40"/>
      <c r="R22" s="40"/>
      <c r="S22" s="40"/>
      <c r="U22" s="40">
        <f t="shared" si="1"/>
        <v>4363726</v>
      </c>
    </row>
    <row r="23" spans="2:23" ht="17.45" customHeight="1">
      <c r="B23" s="41" t="s">
        <v>141</v>
      </c>
      <c r="C23" s="41"/>
      <c r="D23" s="41"/>
      <c r="E23" s="41"/>
      <c r="H23" s="42">
        <v>0.13462422561192888</v>
      </c>
      <c r="I23" s="42">
        <v>8.8030749557869062E-2</v>
      </c>
      <c r="J23" s="42">
        <v>7.4725473930831787E-2</v>
      </c>
      <c r="K23" s="42">
        <v>0.12495255116364049</v>
      </c>
      <c r="L23" s="42"/>
      <c r="M23" s="42"/>
      <c r="N23" s="42"/>
      <c r="O23" s="42"/>
      <c r="P23" s="42"/>
      <c r="Q23" s="42"/>
      <c r="R23" s="42"/>
      <c r="S23" s="42"/>
      <c r="U23" s="42">
        <f>AVERAGE(H23:S23)</f>
        <v>0.10558325006606756</v>
      </c>
    </row>
    <row r="24" spans="2:23" ht="17.45" customHeight="1">
      <c r="B24" s="41" t="s">
        <v>140</v>
      </c>
      <c r="C24" s="41"/>
      <c r="D24" s="41"/>
      <c r="E24" s="41"/>
      <c r="H24" s="42">
        <v>0.1</v>
      </c>
      <c r="I24" s="42">
        <v>0.1</v>
      </c>
      <c r="J24" s="42">
        <v>0.1</v>
      </c>
      <c r="K24" s="42">
        <v>0.1</v>
      </c>
      <c r="L24" s="42"/>
      <c r="M24" s="42"/>
      <c r="N24" s="42"/>
      <c r="O24" s="42"/>
      <c r="P24" s="42"/>
      <c r="Q24" s="42"/>
      <c r="R24" s="42"/>
      <c r="S24" s="42"/>
      <c r="U24" s="42">
        <f>AVERAGE(H24:S24)</f>
        <v>0.1</v>
      </c>
    </row>
    <row r="25" spans="2:23" ht="17.45" customHeight="1">
      <c r="B25" s="41" t="s">
        <v>139</v>
      </c>
      <c r="C25" s="41"/>
      <c r="D25" s="41"/>
      <c r="E25" s="41"/>
      <c r="H25" s="44">
        <v>9.35</v>
      </c>
      <c r="I25" s="43">
        <v>9.3178646000000001</v>
      </c>
      <c r="J25" s="43">
        <v>9.3393543999999995</v>
      </c>
      <c r="K25" s="43">
        <v>9.5503274999999999</v>
      </c>
      <c r="L25" s="43"/>
      <c r="M25" s="43"/>
      <c r="N25" s="43"/>
      <c r="O25" s="43"/>
      <c r="P25" s="43"/>
      <c r="Q25" s="43"/>
      <c r="R25" s="43"/>
      <c r="S25" s="43"/>
      <c r="U25" s="43" t="s">
        <v>137</v>
      </c>
    </row>
    <row r="26" spans="2:23" ht="17.45" customHeight="1">
      <c r="B26" s="41" t="s">
        <v>138</v>
      </c>
      <c r="C26" s="41"/>
      <c r="D26" s="41"/>
      <c r="E26" s="41"/>
      <c r="H26" s="43">
        <v>7.43</v>
      </c>
      <c r="I26" s="43">
        <v>7.62</v>
      </c>
      <c r="J26" s="43">
        <v>7.91</v>
      </c>
      <c r="K26" s="43">
        <v>7.81</v>
      </c>
      <c r="L26" s="43"/>
      <c r="M26" s="43"/>
      <c r="N26" s="43"/>
      <c r="O26" s="43"/>
      <c r="P26" s="43"/>
      <c r="Q26" s="43"/>
      <c r="R26" s="43"/>
      <c r="S26" s="43"/>
      <c r="U26" s="43" t="s">
        <v>137</v>
      </c>
    </row>
    <row r="27" spans="2:23" ht="17.45" customHeight="1">
      <c r="I27" s="13"/>
      <c r="J27" s="13"/>
      <c r="K27" s="13"/>
      <c r="L27" s="13"/>
      <c r="M27" s="13"/>
      <c r="N27" s="13"/>
      <c r="O27" s="13"/>
      <c r="P27" s="13"/>
      <c r="Q27" s="13"/>
      <c r="R27" s="13"/>
      <c r="S27" s="13"/>
    </row>
    <row r="28" spans="2:23" ht="24.95" customHeight="1">
      <c r="B28" s="21" t="s">
        <v>156</v>
      </c>
      <c r="C28" s="20"/>
      <c r="D28" s="20"/>
      <c r="E28" s="20"/>
      <c r="F28" s="18"/>
      <c r="G28" s="18"/>
      <c r="H28" s="19">
        <v>45292</v>
      </c>
      <c r="I28" s="19">
        <v>45323</v>
      </c>
      <c r="J28" s="19">
        <v>45352</v>
      </c>
      <c r="K28" s="19">
        <v>45383</v>
      </c>
      <c r="L28" s="19">
        <v>45413</v>
      </c>
      <c r="M28" s="19">
        <v>45444</v>
      </c>
      <c r="N28" s="19">
        <v>45474</v>
      </c>
      <c r="O28" s="19">
        <v>45505</v>
      </c>
      <c r="P28" s="19">
        <v>45536</v>
      </c>
      <c r="Q28" s="19">
        <v>45566</v>
      </c>
      <c r="R28" s="19">
        <v>45597</v>
      </c>
      <c r="S28" s="19">
        <v>45627</v>
      </c>
      <c r="T28" s="18"/>
      <c r="U28" s="17">
        <v>2024</v>
      </c>
    </row>
    <row r="29" spans="2:23" ht="3" customHeight="1">
      <c r="B29" s="16"/>
      <c r="C29" s="15"/>
      <c r="D29" s="15"/>
      <c r="E29" s="15"/>
      <c r="H29" s="14"/>
      <c r="I29" s="14"/>
      <c r="J29" s="14"/>
      <c r="K29" s="14"/>
      <c r="L29" s="14"/>
      <c r="M29" s="14"/>
      <c r="N29" s="14"/>
      <c r="O29" s="14"/>
      <c r="P29" s="14"/>
      <c r="Q29" s="14"/>
      <c r="R29" s="14"/>
      <c r="S29" s="14"/>
      <c r="U29" s="14"/>
    </row>
    <row r="30" spans="2:23" ht="3" customHeight="1">
      <c r="B30" s="16"/>
      <c r="C30" s="15"/>
      <c r="D30" s="15"/>
      <c r="E30" s="15"/>
      <c r="H30" s="14"/>
      <c r="I30" s="14"/>
      <c r="J30" s="14"/>
      <c r="K30" s="14"/>
      <c r="L30" s="14"/>
      <c r="M30" s="14"/>
      <c r="N30" s="14"/>
      <c r="O30" s="14"/>
      <c r="P30" s="14"/>
      <c r="Q30" s="14"/>
      <c r="R30" s="14"/>
      <c r="S30" s="14"/>
      <c r="U30" s="14"/>
    </row>
    <row r="31" spans="2:23" ht="17.45" customHeight="1">
      <c r="B31" s="35" t="s">
        <v>152</v>
      </c>
      <c r="C31" s="35"/>
      <c r="D31" s="35"/>
      <c r="E31" s="35"/>
      <c r="H31" s="36">
        <v>750617.23578025191</v>
      </c>
      <c r="I31" s="36">
        <v>906834.51998557802</v>
      </c>
      <c r="J31" s="36">
        <v>1052452.4637925965</v>
      </c>
      <c r="K31" s="36">
        <v>1099041.4006728292</v>
      </c>
      <c r="L31" s="36">
        <v>1115247.1202586349</v>
      </c>
      <c r="M31" s="36">
        <v>1023328.2942167517</v>
      </c>
      <c r="N31" s="36">
        <v>1186108.8999131117</v>
      </c>
      <c r="O31" s="36">
        <v>922162.25903376297</v>
      </c>
      <c r="P31" s="36">
        <v>1132850.1142714941</v>
      </c>
      <c r="Q31" s="36">
        <f>SUM(Q32:Q34)</f>
        <v>1119445.7465332795</v>
      </c>
      <c r="R31" s="36">
        <f>SUM(R32:R34)</f>
        <v>1116114.6142864453</v>
      </c>
      <c r="S31" s="36">
        <f>SUM(S32:S34)</f>
        <v>978406.67085603648</v>
      </c>
      <c r="U31" s="36">
        <f t="shared" ref="U31:U41" si="2">SUM(H31:S31)</f>
        <v>12402609.339600774</v>
      </c>
      <c r="W31" s="45">
        <f>SUM(H31:U31)-SUM(H32:U34)</f>
        <v>0</v>
      </c>
    </row>
    <row r="32" spans="2:23" ht="17.45" customHeight="1">
      <c r="B32" s="37" t="s">
        <v>151</v>
      </c>
      <c r="C32" s="37"/>
      <c r="D32" s="37"/>
      <c r="E32" s="37"/>
      <c r="H32" s="38">
        <v>590981.73431951797</v>
      </c>
      <c r="I32" s="38">
        <v>705409.85056248261</v>
      </c>
      <c r="J32" s="38">
        <v>699818.11789395357</v>
      </c>
      <c r="K32" s="38">
        <v>733238.05549840501</v>
      </c>
      <c r="L32" s="38">
        <v>679391.04436011706</v>
      </c>
      <c r="M32" s="38">
        <v>859443.99955374876</v>
      </c>
      <c r="N32" s="38">
        <v>705672.44649650285</v>
      </c>
      <c r="O32" s="38">
        <v>736869.16532945784</v>
      </c>
      <c r="P32" s="38">
        <v>726889.88288502709</v>
      </c>
      <c r="Q32" s="38">
        <v>698105.50193024555</v>
      </c>
      <c r="R32" s="38">
        <v>717226.64938469045</v>
      </c>
      <c r="S32" s="38">
        <v>703743.06379442627</v>
      </c>
      <c r="U32" s="38">
        <f t="shared" si="2"/>
        <v>8556789.5120085739</v>
      </c>
      <c r="W32" s="45"/>
    </row>
    <row r="33" spans="2:23" ht="17.45" customHeight="1">
      <c r="B33" s="37" t="s">
        <v>150</v>
      </c>
      <c r="C33" s="37"/>
      <c r="D33" s="37"/>
      <c r="E33" s="37"/>
      <c r="H33" s="38">
        <v>159635.501460734</v>
      </c>
      <c r="I33" s="38">
        <v>201424.66942309542</v>
      </c>
      <c r="J33" s="38">
        <v>226064.12589864284</v>
      </c>
      <c r="K33" s="38">
        <v>221297.20517442413</v>
      </c>
      <c r="L33" s="38">
        <v>152759.955898518</v>
      </c>
      <c r="M33" s="38">
        <v>158773.00466300317</v>
      </c>
      <c r="N33" s="38">
        <v>172464.58341660869</v>
      </c>
      <c r="O33" s="38">
        <v>132385.49370430521</v>
      </c>
      <c r="P33" s="38">
        <v>120548.55138646708</v>
      </c>
      <c r="Q33" s="38">
        <v>167265.15460303385</v>
      </c>
      <c r="R33" s="38">
        <v>320563.61490175489</v>
      </c>
      <c r="S33" s="38">
        <v>274663.60706161027</v>
      </c>
      <c r="U33" s="38">
        <f t="shared" si="2"/>
        <v>2307845.4675921975</v>
      </c>
      <c r="W33" s="45"/>
    </row>
    <row r="34" spans="2:23" ht="17.45" customHeight="1">
      <c r="B34" s="37" t="s">
        <v>149</v>
      </c>
      <c r="C34" s="37"/>
      <c r="D34" s="37"/>
      <c r="E34" s="37"/>
      <c r="H34" s="38"/>
      <c r="I34" s="38"/>
      <c r="J34" s="38">
        <v>126570.22</v>
      </c>
      <c r="K34" s="38">
        <v>144506.14000000001</v>
      </c>
      <c r="L34" s="38">
        <v>283096.12</v>
      </c>
      <c r="M34" s="38">
        <v>5111.2899999997999</v>
      </c>
      <c r="N34" s="38">
        <v>307971.87</v>
      </c>
      <c r="O34" s="38">
        <v>52907.6</v>
      </c>
      <c r="P34" s="38">
        <v>285411.68</v>
      </c>
      <c r="Q34" s="38">
        <v>254075.09</v>
      </c>
      <c r="R34" s="38">
        <v>78324.350000000006</v>
      </c>
      <c r="S34" s="38">
        <v>0</v>
      </c>
      <c r="U34" s="38">
        <f t="shared" si="2"/>
        <v>1537974.3599999999</v>
      </c>
      <c r="W34" s="45"/>
    </row>
    <row r="35" spans="2:23" ht="17.45" customHeight="1">
      <c r="B35" s="35" t="s">
        <v>148</v>
      </c>
      <c r="C35" s="35"/>
      <c r="D35" s="35"/>
      <c r="E35" s="35"/>
      <c r="H35" s="36">
        <v>176085.80000000002</v>
      </c>
      <c r="I35" s="36">
        <v>83912.43</v>
      </c>
      <c r="J35" s="36">
        <v>87479.84</v>
      </c>
      <c r="K35" s="36">
        <v>88497.640000000014</v>
      </c>
      <c r="L35" s="36">
        <v>75473.75</v>
      </c>
      <c r="M35" s="36">
        <v>72088.750000000015</v>
      </c>
      <c r="N35" s="36">
        <v>111946.6</v>
      </c>
      <c r="O35" s="36">
        <v>100602.63</v>
      </c>
      <c r="P35" s="36">
        <v>99134.239999999991</v>
      </c>
      <c r="Q35" s="36">
        <f>SUM(Q36:Q37)</f>
        <v>99929.279999999999</v>
      </c>
      <c r="R35" s="36">
        <f>SUM(R36:R37)</f>
        <v>95318.1</v>
      </c>
      <c r="S35" s="36">
        <f>SUM(S36:S37)</f>
        <v>88892.09</v>
      </c>
      <c r="U35" s="36">
        <f t="shared" si="2"/>
        <v>1179361.1500000001</v>
      </c>
      <c r="W35" s="45">
        <f>SUM(H35:U35)-SUM(H36:U37)</f>
        <v>0</v>
      </c>
    </row>
    <row r="36" spans="2:23" ht="17.45" customHeight="1">
      <c r="B36" s="37" t="s">
        <v>147</v>
      </c>
      <c r="C36" s="37"/>
      <c r="D36" s="37"/>
      <c r="E36" s="37"/>
      <c r="H36" s="38">
        <v>52085.26</v>
      </c>
      <c r="I36" s="38">
        <v>40000</v>
      </c>
      <c r="J36" s="38">
        <v>40000</v>
      </c>
      <c r="K36" s="38">
        <v>40000</v>
      </c>
      <c r="L36" s="38">
        <v>50000</v>
      </c>
      <c r="M36" s="38">
        <v>50000</v>
      </c>
      <c r="N36" s="38">
        <v>50000</v>
      </c>
      <c r="O36" s="38">
        <v>50000</v>
      </c>
      <c r="P36" s="38">
        <v>45000</v>
      </c>
      <c r="Q36" s="38">
        <v>40000</v>
      </c>
      <c r="R36" s="38">
        <v>42500</v>
      </c>
      <c r="S36" s="38">
        <v>45000</v>
      </c>
      <c r="U36" s="38">
        <f t="shared" si="2"/>
        <v>544585.26</v>
      </c>
      <c r="W36" s="45"/>
    </row>
    <row r="37" spans="2:23" ht="17.45" customHeight="1">
      <c r="B37" s="37" t="s">
        <v>146</v>
      </c>
      <c r="C37" s="37"/>
      <c r="D37" s="37"/>
      <c r="E37" s="37"/>
      <c r="H37" s="38">
        <v>124000.54000000001</v>
      </c>
      <c r="I37" s="38">
        <v>43912.429999999993</v>
      </c>
      <c r="J37" s="38">
        <v>47479.839999999997</v>
      </c>
      <c r="K37" s="38">
        <v>48497.640000000007</v>
      </c>
      <c r="L37" s="38">
        <v>25473.750000000004</v>
      </c>
      <c r="M37" s="38">
        <v>22088.750000000011</v>
      </c>
      <c r="N37" s="38">
        <v>61946.6</v>
      </c>
      <c r="O37" s="38">
        <v>50602.630000000005</v>
      </c>
      <c r="P37" s="38">
        <v>54134.239999999991</v>
      </c>
      <c r="Q37" s="38">
        <v>59929.280000000006</v>
      </c>
      <c r="R37" s="38">
        <v>52818.100000000006</v>
      </c>
      <c r="S37" s="38">
        <v>43892.09</v>
      </c>
      <c r="U37" s="38">
        <f t="shared" si="2"/>
        <v>634775.8899999999</v>
      </c>
      <c r="W37" s="45"/>
    </row>
    <row r="38" spans="2:23" ht="17.45" customHeight="1">
      <c r="B38" s="35" t="s">
        <v>145</v>
      </c>
      <c r="C38" s="35"/>
      <c r="D38" s="35"/>
      <c r="E38" s="35"/>
      <c r="H38" s="36">
        <v>-109493.70000000001</v>
      </c>
      <c r="I38" s="36">
        <v>-117338.84</v>
      </c>
      <c r="J38" s="36">
        <v>-101050.09999999992</v>
      </c>
      <c r="K38" s="36">
        <v>-115951.64</v>
      </c>
      <c r="L38" s="36">
        <v>-122945.78</v>
      </c>
      <c r="M38" s="36">
        <v>-127910.15000000001</v>
      </c>
      <c r="N38" s="36">
        <v>-115204.24</v>
      </c>
      <c r="O38" s="36">
        <v>-117152.11</v>
      </c>
      <c r="P38" s="36">
        <v>-143260.14000000001</v>
      </c>
      <c r="Q38" s="36">
        <f>Q39</f>
        <v>-115952.68</v>
      </c>
      <c r="R38" s="36">
        <f>R39</f>
        <v>-123748.15</v>
      </c>
      <c r="S38" s="36">
        <f>S39</f>
        <v>-113373.04</v>
      </c>
      <c r="U38" s="36">
        <f t="shared" si="2"/>
        <v>-1423380.5699999998</v>
      </c>
      <c r="W38" s="45">
        <f>SUM(H38:U38)-SUM(H39:U39)</f>
        <v>0</v>
      </c>
    </row>
    <row r="39" spans="2:23" ht="17.45" customHeight="1">
      <c r="B39" s="37" t="s">
        <v>144</v>
      </c>
      <c r="C39" s="37"/>
      <c r="D39" s="37"/>
      <c r="E39" s="37"/>
      <c r="H39" s="38">
        <v>-109493.70000000001</v>
      </c>
      <c r="I39" s="38">
        <v>-117338.84</v>
      </c>
      <c r="J39" s="38">
        <v>-101050.09999999992</v>
      </c>
      <c r="K39" s="38">
        <v>-115951.64</v>
      </c>
      <c r="L39" s="38">
        <v>-122945.78</v>
      </c>
      <c r="M39" s="38">
        <v>-127910.15000000001</v>
      </c>
      <c r="N39" s="38">
        <v>-115204.24</v>
      </c>
      <c r="O39" s="38">
        <v>-117152.11</v>
      </c>
      <c r="P39" s="38">
        <v>-143260.14000000001</v>
      </c>
      <c r="Q39" s="38">
        <v>-115952.68</v>
      </c>
      <c r="R39" s="38">
        <v>-123748.15</v>
      </c>
      <c r="S39" s="38">
        <v>-113373.04</v>
      </c>
      <c r="U39" s="38">
        <f t="shared" si="2"/>
        <v>-1423380.5699999998</v>
      </c>
      <c r="W39" s="45"/>
    </row>
    <row r="40" spans="2:23" ht="17.45" customHeight="1">
      <c r="B40" s="35" t="s">
        <v>143</v>
      </c>
      <c r="C40" s="35"/>
      <c r="D40" s="35"/>
      <c r="E40" s="35"/>
      <c r="H40" s="36">
        <v>817209.335780252</v>
      </c>
      <c r="I40" s="36">
        <v>873408.10998557799</v>
      </c>
      <c r="J40" s="36">
        <v>1038882.2037925967</v>
      </c>
      <c r="K40" s="36">
        <v>1071587.4006728295</v>
      </c>
      <c r="L40" s="36">
        <v>1067775.09025863</v>
      </c>
      <c r="M40" s="36">
        <v>967506.8942167518</v>
      </c>
      <c r="N40" s="36">
        <v>1182851.2599131118</v>
      </c>
      <c r="O40" s="36">
        <v>905612.77903376298</v>
      </c>
      <c r="P40" s="36">
        <v>1088724.2142714942</v>
      </c>
      <c r="Q40" s="36">
        <f>SUM(Q31,Q35,Q38)</f>
        <v>1103422.3465332796</v>
      </c>
      <c r="R40" s="36">
        <f>SUM(R31,R35,R38)</f>
        <v>1087684.5642864455</v>
      </c>
      <c r="S40" s="36">
        <f>SUM(S31,S35,S38)</f>
        <v>953925.72085603653</v>
      </c>
      <c r="U40" s="36">
        <f t="shared" si="2"/>
        <v>12158589.919600772</v>
      </c>
      <c r="W40" s="45">
        <f>SUM(H31:U31,H35:U35,H38:U38)-SUM(H40:U40)</f>
        <v>0</v>
      </c>
    </row>
    <row r="41" spans="2:23" ht="17.45" customHeight="1">
      <c r="B41" s="39" t="s">
        <v>142</v>
      </c>
      <c r="C41" s="39"/>
      <c r="D41" s="39"/>
      <c r="E41" s="39"/>
      <c r="H41" s="40">
        <v>818198.625</v>
      </c>
      <c r="I41" s="40">
        <v>882534.01925635</v>
      </c>
      <c r="J41" s="40">
        <v>1038882.2</v>
      </c>
      <c r="K41" s="40">
        <v>1036384.925</v>
      </c>
      <c r="L41" s="40">
        <v>1036384.925</v>
      </c>
      <c r="M41" s="40">
        <v>1034099.53826761</v>
      </c>
      <c r="N41" s="40">
        <v>1038670.31173239</v>
      </c>
      <c r="O41" s="40">
        <v>1036384.925</v>
      </c>
      <c r="P41" s="40">
        <v>1036384.925</v>
      </c>
      <c r="Q41" s="40">
        <v>1036384.925</v>
      </c>
      <c r="R41" s="40">
        <v>1036384.925</v>
      </c>
      <c r="S41" s="40">
        <v>1036384.925</v>
      </c>
      <c r="U41" s="40">
        <f t="shared" si="2"/>
        <v>12067079.169256352</v>
      </c>
    </row>
    <row r="42" spans="2:23" ht="17.45" customHeight="1">
      <c r="B42" s="41" t="s">
        <v>141</v>
      </c>
      <c r="C42" s="41"/>
      <c r="D42" s="41"/>
      <c r="E42" s="41"/>
      <c r="H42" s="42">
        <v>7.4909317017636035E-2</v>
      </c>
      <c r="I42" s="42">
        <v>8.0060765500453324E-2</v>
      </c>
      <c r="J42" s="42">
        <v>9.5228912520410006E-2</v>
      </c>
      <c r="K42" s="42">
        <v>9.8226827318931523E-2</v>
      </c>
      <c r="L42" s="42">
        <v>9.7877372709343796E-2</v>
      </c>
      <c r="M42" s="42">
        <v>8.8686310205246782E-2</v>
      </c>
      <c r="N42" s="42">
        <v>0.10842580491195934</v>
      </c>
      <c r="O42" s="42">
        <v>8.3012799523504724E-2</v>
      </c>
      <c r="P42" s="42">
        <v>9.9797669631089964E-2</v>
      </c>
      <c r="Q42" s="42">
        <v>0.10114497074594322</v>
      </c>
      <c r="R42" s="42">
        <v>9.9702370340066765E-2</v>
      </c>
      <c r="S42" s="42">
        <v>8.7441394886483392E-2</v>
      </c>
      <c r="U42" s="42">
        <f>AVERAGE(H42:S42)</f>
        <v>9.287620960925573E-2</v>
      </c>
    </row>
    <row r="43" spans="2:23" ht="17.45" customHeight="1">
      <c r="B43" s="41" t="s">
        <v>140</v>
      </c>
      <c r="C43" s="41"/>
      <c r="D43" s="41"/>
      <c r="E43" s="41"/>
      <c r="H43" s="42">
        <v>7.4999999999999997E-2</v>
      </c>
      <c r="I43" s="42">
        <v>8.0897289999999997E-2</v>
      </c>
      <c r="J43" s="42">
        <v>9.5228912172762442E-2</v>
      </c>
      <c r="K43" s="42">
        <v>9.5000000000000001E-2</v>
      </c>
      <c r="L43" s="42">
        <v>9.5000000000000001E-2</v>
      </c>
      <c r="M43" s="42">
        <v>9.4790510519460663E-2</v>
      </c>
      <c r="N43" s="42">
        <v>9.5209489480539339E-2</v>
      </c>
      <c r="O43" s="42">
        <v>9.5000000000000001E-2</v>
      </c>
      <c r="P43" s="42">
        <v>9.5000000000000001E-2</v>
      </c>
      <c r="Q43" s="42">
        <v>9.5000000000000001E-2</v>
      </c>
      <c r="R43" s="42">
        <v>9.5000000000000001E-2</v>
      </c>
      <c r="S43" s="42">
        <v>9.5000000000000001E-2</v>
      </c>
      <c r="U43" s="42">
        <f>AVERAGE(H43:S43)</f>
        <v>9.2177183514396854E-2</v>
      </c>
    </row>
    <row r="44" spans="2:23" ht="17.45" customHeight="1">
      <c r="B44" s="41" t="s">
        <v>139</v>
      </c>
      <c r="C44" s="41"/>
      <c r="D44" s="41"/>
      <c r="E44" s="41"/>
      <c r="H44" s="44">
        <v>10.02</v>
      </c>
      <c r="I44" s="43">
        <v>10.01</v>
      </c>
      <c r="J44" s="43">
        <v>9.98</v>
      </c>
      <c r="K44" s="43">
        <v>9.8073375056087393</v>
      </c>
      <c r="L44" s="43">
        <v>9.8470862726028177</v>
      </c>
      <c r="M44" s="43">
        <v>9.7200000000000006</v>
      </c>
      <c r="N44" s="43">
        <v>9.8809027798720628</v>
      </c>
      <c r="O44" s="43">
        <v>9.77</v>
      </c>
      <c r="P44" s="43">
        <v>9.7307687082094532</v>
      </c>
      <c r="Q44" s="43">
        <v>9.6</v>
      </c>
      <c r="R44" s="43">
        <v>9.5200987156388823</v>
      </c>
      <c r="S44" s="43">
        <v>9.24</v>
      </c>
      <c r="U44" s="43" t="s">
        <v>137</v>
      </c>
    </row>
    <row r="45" spans="2:23" ht="17.45" customHeight="1">
      <c r="B45" s="41" t="s">
        <v>138</v>
      </c>
      <c r="C45" s="41"/>
      <c r="D45" s="41"/>
      <c r="E45" s="41"/>
      <c r="H45" s="43">
        <v>9.5</v>
      </c>
      <c r="I45" s="43">
        <v>9.01</v>
      </c>
      <c r="J45" s="43">
        <v>8.9</v>
      </c>
      <c r="K45" s="43">
        <v>9</v>
      </c>
      <c r="L45" s="43">
        <v>9.06</v>
      </c>
      <c r="M45" s="43">
        <v>8.99</v>
      </c>
      <c r="N45" s="43">
        <v>9.01</v>
      </c>
      <c r="O45" s="43">
        <v>9.02</v>
      </c>
      <c r="P45" s="43">
        <v>9.01</v>
      </c>
      <c r="Q45" s="43">
        <v>8.57</v>
      </c>
      <c r="R45" s="43">
        <v>8.02</v>
      </c>
      <c r="S45" s="43">
        <v>8</v>
      </c>
      <c r="U45" s="43" t="s">
        <v>137</v>
      </c>
    </row>
    <row r="46" spans="2:23" ht="17.45" customHeight="1">
      <c r="I46" s="13"/>
      <c r="J46" s="13"/>
      <c r="K46" s="13"/>
      <c r="L46" s="13"/>
      <c r="M46" s="13"/>
      <c r="N46" s="13"/>
      <c r="O46" s="13"/>
      <c r="P46" s="13"/>
      <c r="Q46" s="13"/>
      <c r="R46" s="13"/>
      <c r="S46" s="13"/>
    </row>
    <row r="47" spans="2:23" ht="24.95" customHeight="1">
      <c r="B47" s="21" t="s">
        <v>155</v>
      </c>
      <c r="C47" s="20"/>
      <c r="D47" s="20"/>
      <c r="E47" s="20"/>
      <c r="F47" s="18"/>
      <c r="G47" s="18"/>
      <c r="H47" s="19">
        <v>44927</v>
      </c>
      <c r="I47" s="19">
        <v>44958</v>
      </c>
      <c r="J47" s="19">
        <v>44986</v>
      </c>
      <c r="K47" s="19">
        <v>45017</v>
      </c>
      <c r="L47" s="19">
        <v>45047</v>
      </c>
      <c r="M47" s="19">
        <v>45078</v>
      </c>
      <c r="N47" s="19">
        <v>45108</v>
      </c>
      <c r="O47" s="19">
        <v>45139</v>
      </c>
      <c r="P47" s="19">
        <v>45170</v>
      </c>
      <c r="Q47" s="19">
        <v>45200</v>
      </c>
      <c r="R47" s="19">
        <v>45231</v>
      </c>
      <c r="S47" s="19">
        <v>45261</v>
      </c>
      <c r="T47" s="18"/>
      <c r="U47" s="17">
        <v>2023</v>
      </c>
    </row>
    <row r="48" spans="2:23" ht="5.0999999999999996" customHeight="1">
      <c r="B48" s="16"/>
      <c r="C48" s="15"/>
      <c r="D48" s="15"/>
      <c r="E48" s="15"/>
      <c r="H48" s="14"/>
      <c r="I48" s="14"/>
      <c r="J48" s="14"/>
      <c r="K48" s="14"/>
      <c r="L48" s="14"/>
      <c r="M48" s="14"/>
      <c r="N48" s="14"/>
      <c r="O48" s="14"/>
      <c r="P48" s="14"/>
      <c r="Q48" s="14"/>
      <c r="R48" s="14"/>
      <c r="S48" s="14"/>
      <c r="U48" s="14"/>
    </row>
    <row r="49" spans="2:23" ht="5.0999999999999996" customHeight="1">
      <c r="B49" s="16"/>
      <c r="C49" s="15"/>
      <c r="D49" s="15"/>
      <c r="E49" s="15"/>
      <c r="H49" s="14"/>
      <c r="I49" s="14"/>
      <c r="J49" s="14"/>
      <c r="K49" s="14"/>
      <c r="L49" s="14"/>
      <c r="M49" s="14"/>
      <c r="N49" s="14"/>
      <c r="O49" s="14"/>
      <c r="P49" s="14"/>
      <c r="Q49" s="14"/>
      <c r="R49" s="14"/>
      <c r="S49" s="14"/>
      <c r="U49" s="14"/>
    </row>
    <row r="50" spans="2:23" ht="17.45" customHeight="1">
      <c r="B50" s="35" t="s">
        <v>152</v>
      </c>
      <c r="C50" s="35"/>
      <c r="D50" s="35"/>
      <c r="E50" s="35"/>
      <c r="H50" s="36">
        <v>484295.07549323159</v>
      </c>
      <c r="I50" s="36">
        <v>751694.09699040488</v>
      </c>
      <c r="J50" s="36">
        <v>465421.63130273699</v>
      </c>
      <c r="K50" s="36">
        <v>536704.57742864289</v>
      </c>
      <c r="L50" s="36">
        <v>588952.82000532374</v>
      </c>
      <c r="M50" s="36">
        <v>546150.28124309494</v>
      </c>
      <c r="N50" s="36">
        <v>719374.95903026545</v>
      </c>
      <c r="O50" s="36">
        <v>617787.32303958945</v>
      </c>
      <c r="P50" s="36">
        <v>670234.97161575384</v>
      </c>
      <c r="Q50" s="36">
        <v>435455.36393753334</v>
      </c>
      <c r="R50" s="36">
        <v>691763.31348405592</v>
      </c>
      <c r="S50" s="36">
        <v>798758.48961622687</v>
      </c>
      <c r="U50" s="36">
        <v>7309624.4431868596</v>
      </c>
      <c r="W50" s="45">
        <f>SUM(H50:U50)-SUM(H51:U53)</f>
        <v>0</v>
      </c>
    </row>
    <row r="51" spans="2:23" ht="17.45" customHeight="1">
      <c r="B51" s="37" t="s">
        <v>151</v>
      </c>
      <c r="C51" s="37"/>
      <c r="D51" s="37"/>
      <c r="E51" s="37"/>
      <c r="H51" s="38">
        <v>373193.59293305443</v>
      </c>
      <c r="I51" s="38">
        <v>363010.84048745502</v>
      </c>
      <c r="J51" s="38">
        <v>328009.08792589785</v>
      </c>
      <c r="K51" s="38">
        <v>379322.613652492</v>
      </c>
      <c r="L51" s="38">
        <v>349353.42623465875</v>
      </c>
      <c r="M51" s="38">
        <v>363369.43119568698</v>
      </c>
      <c r="N51" s="38">
        <v>366693.94334616134</v>
      </c>
      <c r="O51" s="38">
        <v>372553.20590450132</v>
      </c>
      <c r="P51" s="38">
        <v>366222.31731681427</v>
      </c>
      <c r="Q51" s="38">
        <v>351903.19490049168</v>
      </c>
      <c r="R51" s="38">
        <v>399529.79643543303</v>
      </c>
      <c r="S51" s="38">
        <v>615935.20609636034</v>
      </c>
      <c r="U51" s="38">
        <v>4629096.6564290067</v>
      </c>
      <c r="W51" s="45"/>
    </row>
    <row r="52" spans="2:23" ht="17.45" customHeight="1">
      <c r="B52" s="37" t="s">
        <v>150</v>
      </c>
      <c r="C52" s="37"/>
      <c r="D52" s="37"/>
      <c r="E52" s="37"/>
      <c r="H52" s="38">
        <v>111101.48256017714</v>
      </c>
      <c r="I52" s="38">
        <v>388683.25650294987</v>
      </c>
      <c r="J52" s="38">
        <v>137412.54337683914</v>
      </c>
      <c r="K52" s="38">
        <v>160413.50377615099</v>
      </c>
      <c r="L52" s="38">
        <v>239599.39377066499</v>
      </c>
      <c r="M52" s="38">
        <v>182780.85004740799</v>
      </c>
      <c r="N52" s="38">
        <v>352681.01568410406</v>
      </c>
      <c r="O52" s="38">
        <v>245234.1171350881</v>
      </c>
      <c r="P52" s="38">
        <v>72736.814298939586</v>
      </c>
      <c r="Q52" s="38">
        <v>83552.169037041691</v>
      </c>
      <c r="R52" s="38">
        <v>96777.437048622887</v>
      </c>
      <c r="S52" s="38">
        <v>96180.223519866558</v>
      </c>
      <c r="U52" s="38">
        <v>2167152.8067578529</v>
      </c>
      <c r="W52" s="45"/>
    </row>
    <row r="53" spans="2:23" ht="17.45" customHeight="1">
      <c r="B53" s="37" t="s">
        <v>149</v>
      </c>
      <c r="C53" s="37"/>
      <c r="D53" s="37"/>
      <c r="E53" s="37"/>
      <c r="H53" s="38"/>
      <c r="I53" s="38"/>
      <c r="J53" s="38"/>
      <c r="K53" s="38">
        <v>-3031.54000000001</v>
      </c>
      <c r="L53" s="38"/>
      <c r="M53" s="38"/>
      <c r="N53" s="38"/>
      <c r="O53" s="38"/>
      <c r="P53" s="38">
        <v>231275.84</v>
      </c>
      <c r="Q53" s="38"/>
      <c r="R53" s="38">
        <v>195456.08</v>
      </c>
      <c r="S53" s="38">
        <v>86643.059999999896</v>
      </c>
      <c r="U53" s="38">
        <v>513374.97999999986</v>
      </c>
      <c r="W53" s="45"/>
    </row>
    <row r="54" spans="2:23" ht="17.45" customHeight="1">
      <c r="B54" s="35" t="s">
        <v>148</v>
      </c>
      <c r="C54" s="35"/>
      <c r="D54" s="35"/>
      <c r="E54" s="35"/>
      <c r="H54" s="36">
        <v>18411.490000000002</v>
      </c>
      <c r="I54" s="36">
        <v>18605.850000000009</v>
      </c>
      <c r="J54" s="36">
        <v>22158.579999999991</v>
      </c>
      <c r="K54" s="36">
        <v>21049.64</v>
      </c>
      <c r="L54" s="36">
        <v>14896.459999999995</v>
      </c>
      <c r="M54" s="36">
        <v>15757.879999999994</v>
      </c>
      <c r="N54" s="36">
        <v>11400.36</v>
      </c>
      <c r="O54" s="36">
        <v>10806.92</v>
      </c>
      <c r="P54" s="36">
        <v>9693.4599999999991</v>
      </c>
      <c r="Q54" s="36">
        <v>11297.26</v>
      </c>
      <c r="R54" s="36">
        <v>37702.659999999996</v>
      </c>
      <c r="S54" s="36">
        <v>147136.29999999999</v>
      </c>
      <c r="U54" s="36">
        <v>338916.86</v>
      </c>
      <c r="W54" s="45">
        <f>SUM(H54:U54)-SUM(H55:U56)</f>
        <v>0</v>
      </c>
    </row>
    <row r="55" spans="2:23" ht="17.45" customHeight="1">
      <c r="B55" s="37" t="s">
        <v>147</v>
      </c>
      <c r="C55" s="37"/>
      <c r="D55" s="37"/>
      <c r="E55" s="37"/>
      <c r="H55" s="38"/>
      <c r="I55" s="38"/>
      <c r="J55" s="38"/>
      <c r="K55" s="38"/>
      <c r="L55" s="38"/>
      <c r="M55" s="38"/>
      <c r="N55" s="38"/>
      <c r="O55" s="38"/>
      <c r="P55" s="38"/>
      <c r="Q55" s="38">
        <v>161.28</v>
      </c>
      <c r="R55" s="38">
        <v>5122.6199999999953</v>
      </c>
      <c r="S55" s="38">
        <v>20283.899999999994</v>
      </c>
      <c r="U55" s="38">
        <v>25567.799999999988</v>
      </c>
      <c r="W55" s="45"/>
    </row>
    <row r="56" spans="2:23" ht="17.45" customHeight="1">
      <c r="B56" s="37" t="s">
        <v>146</v>
      </c>
      <c r="C56" s="37"/>
      <c r="D56" s="37"/>
      <c r="E56" s="37"/>
      <c r="H56" s="38">
        <v>18411.490000000002</v>
      </c>
      <c r="I56" s="38">
        <v>18605.850000000009</v>
      </c>
      <c r="J56" s="38">
        <v>22158.579999999991</v>
      </c>
      <c r="K56" s="38">
        <v>21049.64</v>
      </c>
      <c r="L56" s="38">
        <v>14896.459999999995</v>
      </c>
      <c r="M56" s="38">
        <v>15757.879999999994</v>
      </c>
      <c r="N56" s="38">
        <v>11400.36</v>
      </c>
      <c r="O56" s="38">
        <v>10806.92</v>
      </c>
      <c r="P56" s="38">
        <v>9693.4599999999991</v>
      </c>
      <c r="Q56" s="38">
        <v>11135.98</v>
      </c>
      <c r="R56" s="38">
        <v>32580.04</v>
      </c>
      <c r="S56" s="38">
        <v>126852.4</v>
      </c>
      <c r="U56" s="38">
        <v>313349.06</v>
      </c>
      <c r="W56" s="45"/>
    </row>
    <row r="57" spans="2:23" ht="17.45" customHeight="1">
      <c r="B57" s="35" t="s">
        <v>145</v>
      </c>
      <c r="C57" s="35"/>
      <c r="D57" s="35"/>
      <c r="E57" s="35"/>
      <c r="H57" s="36">
        <v>-64282.439999999995</v>
      </c>
      <c r="I57" s="36">
        <v>-49295.4</v>
      </c>
      <c r="J57" s="36">
        <v>-48726.62</v>
      </c>
      <c r="K57" s="36">
        <v>-49157.73</v>
      </c>
      <c r="L57" s="36">
        <v>-54788.770000000004</v>
      </c>
      <c r="M57" s="36">
        <v>-62826.320000000007</v>
      </c>
      <c r="N57" s="36">
        <v>-51865.22</v>
      </c>
      <c r="O57" s="36">
        <v>-51312.289999999994</v>
      </c>
      <c r="P57" s="36">
        <v>-50446.68</v>
      </c>
      <c r="Q57" s="36">
        <v>-74140.84</v>
      </c>
      <c r="R57" s="36">
        <v>-56348.959999999999</v>
      </c>
      <c r="S57" s="36">
        <v>-75098.05</v>
      </c>
      <c r="U57" s="36">
        <v>-688289.32</v>
      </c>
      <c r="W57" s="45">
        <f>SUM(H57:U57)-SUM(H58:U58)</f>
        <v>0</v>
      </c>
    </row>
    <row r="58" spans="2:23" ht="17.45" customHeight="1">
      <c r="B58" s="37" t="s">
        <v>144</v>
      </c>
      <c r="C58" s="37"/>
      <c r="D58" s="37"/>
      <c r="E58" s="37"/>
      <c r="H58" s="38">
        <v>-64282.439999999995</v>
      </c>
      <c r="I58" s="38">
        <v>-49295.4</v>
      </c>
      <c r="J58" s="38">
        <v>-48726.62</v>
      </c>
      <c r="K58" s="38">
        <v>-49157.729999999996</v>
      </c>
      <c r="L58" s="38">
        <v>-54788.770000000004</v>
      </c>
      <c r="M58" s="38">
        <v>-62826.320000000007</v>
      </c>
      <c r="N58" s="38">
        <v>-51865.22</v>
      </c>
      <c r="O58" s="38">
        <v>-51312.289999999994</v>
      </c>
      <c r="P58" s="38">
        <v>-50446.68</v>
      </c>
      <c r="Q58" s="38">
        <v>-74140.84</v>
      </c>
      <c r="R58" s="38">
        <v>-56348.959999999999</v>
      </c>
      <c r="S58" s="38">
        <v>-75098.05</v>
      </c>
      <c r="U58" s="38">
        <v>-688289.32</v>
      </c>
      <c r="W58" s="45"/>
    </row>
    <row r="59" spans="2:23" ht="17.45" customHeight="1">
      <c r="B59" s="35" t="s">
        <v>143</v>
      </c>
      <c r="C59" s="35"/>
      <c r="D59" s="35"/>
      <c r="E59" s="35"/>
      <c r="H59" s="36">
        <v>438424.12549323158</v>
      </c>
      <c r="I59" s="36">
        <v>721004.54699040484</v>
      </c>
      <c r="J59" s="36">
        <v>438853.59130273701</v>
      </c>
      <c r="K59" s="36">
        <v>508596.48742864293</v>
      </c>
      <c r="L59" s="36">
        <v>549060.51000532368</v>
      </c>
      <c r="M59" s="36">
        <v>499081.84124309494</v>
      </c>
      <c r="N59" s="36">
        <v>678910.09903026547</v>
      </c>
      <c r="O59" s="36">
        <v>577281.95303958945</v>
      </c>
      <c r="P59" s="36">
        <v>629481.75161575375</v>
      </c>
      <c r="Q59" s="36">
        <v>372611.78393753339</v>
      </c>
      <c r="R59" s="36">
        <v>673117.01348405599</v>
      </c>
      <c r="S59" s="36">
        <v>870796.73961622687</v>
      </c>
      <c r="U59" s="36">
        <v>6960251.9831868596</v>
      </c>
      <c r="W59" s="45">
        <f>SUM(H50:U50,H54:U54,H57:U57)-SUM(H59:U59)</f>
        <v>0</v>
      </c>
    </row>
    <row r="60" spans="2:23" ht="17.45" customHeight="1">
      <c r="B60" s="39" t="s">
        <v>142</v>
      </c>
      <c r="C60" s="39"/>
      <c r="D60" s="39"/>
      <c r="E60" s="39"/>
      <c r="H60" s="40">
        <v>552750</v>
      </c>
      <c r="I60" s="40">
        <v>552749.99999999977</v>
      </c>
      <c r="J60" s="40">
        <v>552750</v>
      </c>
      <c r="K60" s="40">
        <v>552750</v>
      </c>
      <c r="L60" s="40">
        <v>552750</v>
      </c>
      <c r="M60" s="40">
        <v>552750</v>
      </c>
      <c r="N60" s="40">
        <v>552750</v>
      </c>
      <c r="O60" s="40">
        <v>552749.99999999977</v>
      </c>
      <c r="P60" s="40">
        <v>552750</v>
      </c>
      <c r="Q60" s="40">
        <v>552750</v>
      </c>
      <c r="R60" s="40">
        <v>552750</v>
      </c>
      <c r="S60" s="40">
        <v>502500</v>
      </c>
      <c r="U60" s="40">
        <v>6582750</v>
      </c>
    </row>
    <row r="61" spans="2:23" ht="17.45" customHeight="1">
      <c r="B61" s="41" t="s">
        <v>141</v>
      </c>
      <c r="C61" s="41"/>
      <c r="D61" s="41"/>
      <c r="E61" s="41"/>
      <c r="H61" s="42">
        <v>8.7248582187707771E-2</v>
      </c>
      <c r="I61" s="42">
        <v>0.14348349193838902</v>
      </c>
      <c r="J61" s="42">
        <v>8.7334048020445171E-2</v>
      </c>
      <c r="K61" s="43">
        <v>0.10121323132908316</v>
      </c>
      <c r="L61" s="42">
        <v>0.10926577313538779</v>
      </c>
      <c r="M61" s="42">
        <v>9.9319769401610927E-2</v>
      </c>
      <c r="N61" s="42">
        <v>0.13510648736920705</v>
      </c>
      <c r="O61" s="42">
        <v>0.11488198070439591</v>
      </c>
      <c r="P61" s="42">
        <v>0.12527000032154303</v>
      </c>
      <c r="Q61" s="42">
        <v>7.4151598793538984E-2</v>
      </c>
      <c r="R61" s="42">
        <v>0.13395363452419023</v>
      </c>
      <c r="S61" s="42">
        <v>0.17329288350571678</v>
      </c>
      <c r="U61" s="42">
        <v>0.11542706439779205</v>
      </c>
    </row>
    <row r="62" spans="2:23" ht="17.45" customHeight="1">
      <c r="B62" s="41" t="s">
        <v>140</v>
      </c>
      <c r="C62" s="41"/>
      <c r="D62" s="41"/>
      <c r="E62" s="41"/>
      <c r="H62" s="42">
        <v>0.11</v>
      </c>
      <c r="I62" s="42">
        <v>0.10999999999999996</v>
      </c>
      <c r="J62" s="42">
        <v>0.11</v>
      </c>
      <c r="K62" s="42">
        <v>0.11</v>
      </c>
      <c r="L62" s="42">
        <v>0.11</v>
      </c>
      <c r="M62" s="42">
        <v>0.11</v>
      </c>
      <c r="N62" s="42">
        <v>0.11</v>
      </c>
      <c r="O62" s="42">
        <v>0.10999999999999996</v>
      </c>
      <c r="P62" s="42">
        <v>0.11</v>
      </c>
      <c r="Q62" s="42">
        <v>0.11</v>
      </c>
      <c r="R62" s="42">
        <v>0.11</v>
      </c>
      <c r="S62" s="42">
        <v>0.1</v>
      </c>
      <c r="U62" s="42">
        <v>0.10916666666666668</v>
      </c>
    </row>
    <row r="63" spans="2:23" ht="17.45" customHeight="1">
      <c r="B63" s="41" t="s">
        <v>139</v>
      </c>
      <c r="C63" s="41"/>
      <c r="D63" s="41"/>
      <c r="E63" s="41"/>
      <c r="H63" s="44">
        <v>9.65</v>
      </c>
      <c r="I63" s="43">
        <v>9.75</v>
      </c>
      <c r="J63" s="43">
        <v>9.8699999999999992</v>
      </c>
      <c r="K63" s="43">
        <v>9.91</v>
      </c>
      <c r="L63" s="43">
        <v>10.039999999999999</v>
      </c>
      <c r="M63" s="43">
        <v>10.09</v>
      </c>
      <c r="N63" s="43">
        <v>9.91</v>
      </c>
      <c r="O63" s="43">
        <v>9.84</v>
      </c>
      <c r="P63" s="43">
        <v>9.7100000000000009</v>
      </c>
      <c r="Q63" s="43">
        <v>9.73</v>
      </c>
      <c r="R63" s="43">
        <v>9.98</v>
      </c>
      <c r="S63" s="43">
        <v>10.01</v>
      </c>
      <c r="U63" s="43" t="s">
        <v>137</v>
      </c>
    </row>
    <row r="64" spans="2:23" ht="17.45" customHeight="1">
      <c r="B64" s="41" t="s">
        <v>138</v>
      </c>
      <c r="C64" s="41"/>
      <c r="D64" s="41"/>
      <c r="E64" s="41"/>
      <c r="H64" s="43">
        <v>9.4499999999999993</v>
      </c>
      <c r="I64" s="43">
        <v>8.86</v>
      </c>
      <c r="J64" s="43">
        <v>8.5500000000000007</v>
      </c>
      <c r="K64" s="43">
        <v>8.6999999999999993</v>
      </c>
      <c r="L64" s="43">
        <v>8.77</v>
      </c>
      <c r="M64" s="43">
        <v>8.75</v>
      </c>
      <c r="N64" s="43">
        <v>8.76</v>
      </c>
      <c r="O64" s="43">
        <v>9.18</v>
      </c>
      <c r="P64" s="43">
        <v>9.69</v>
      </c>
      <c r="Q64" s="43">
        <v>10.24</v>
      </c>
      <c r="R64" s="43">
        <v>10.17</v>
      </c>
      <c r="S64" s="43">
        <v>9.7200000000000006</v>
      </c>
      <c r="U64" s="43" t="s">
        <v>137</v>
      </c>
    </row>
    <row r="65" spans="2:23" ht="24" customHeight="1">
      <c r="B65" s="16"/>
      <c r="C65" s="15"/>
      <c r="D65" s="15"/>
      <c r="E65" s="15"/>
      <c r="H65" s="14"/>
      <c r="I65" s="14"/>
      <c r="J65" s="14"/>
      <c r="K65" s="14"/>
      <c r="L65" s="14"/>
      <c r="M65" s="14"/>
      <c r="N65" s="14"/>
      <c r="O65" s="14"/>
      <c r="P65" s="14"/>
      <c r="Q65" s="14"/>
      <c r="R65" s="14"/>
      <c r="S65" s="14"/>
      <c r="U65" s="14"/>
    </row>
    <row r="66" spans="2:23" ht="24.75" customHeight="1">
      <c r="B66" s="21" t="s">
        <v>154</v>
      </c>
      <c r="C66" s="20"/>
      <c r="D66" s="20"/>
      <c r="E66" s="20"/>
      <c r="F66" s="18"/>
      <c r="G66" s="18"/>
      <c r="H66" s="19">
        <v>44562</v>
      </c>
      <c r="I66" s="19">
        <v>44593</v>
      </c>
      <c r="J66" s="19">
        <v>44621</v>
      </c>
      <c r="K66" s="19">
        <v>44652</v>
      </c>
      <c r="L66" s="19">
        <v>44682</v>
      </c>
      <c r="M66" s="19">
        <v>44713</v>
      </c>
      <c r="N66" s="19">
        <v>44743</v>
      </c>
      <c r="O66" s="19">
        <v>44774</v>
      </c>
      <c r="P66" s="19">
        <v>44805</v>
      </c>
      <c r="Q66" s="19">
        <v>44835</v>
      </c>
      <c r="R66" s="19">
        <v>44866</v>
      </c>
      <c r="S66" s="19">
        <v>44896</v>
      </c>
      <c r="U66" s="17">
        <v>2022</v>
      </c>
    </row>
    <row r="67" spans="2:23" ht="5.0999999999999996" customHeight="1">
      <c r="B67" s="16"/>
      <c r="C67" s="15"/>
      <c r="D67" s="15"/>
      <c r="E67" s="15"/>
      <c r="H67" s="14"/>
      <c r="I67" s="14"/>
      <c r="J67" s="14"/>
      <c r="K67" s="14"/>
      <c r="L67" s="14"/>
      <c r="M67" s="14"/>
      <c r="N67" s="14"/>
      <c r="O67" s="14"/>
      <c r="P67" s="14"/>
      <c r="Q67" s="14"/>
      <c r="R67" s="14"/>
      <c r="S67" s="14"/>
      <c r="T67" s="14"/>
      <c r="U67" s="14"/>
    </row>
    <row r="68" spans="2:23" ht="4.5" customHeight="1">
      <c r="B68" s="16"/>
      <c r="C68" s="15"/>
      <c r="D68" s="15"/>
      <c r="E68" s="15"/>
      <c r="H68" s="14"/>
      <c r="I68" s="14"/>
      <c r="J68" s="14"/>
      <c r="K68" s="14"/>
      <c r="L68" s="14"/>
      <c r="M68" s="14"/>
      <c r="N68" s="14"/>
      <c r="O68" s="14"/>
      <c r="P68" s="14"/>
      <c r="Q68" s="14"/>
      <c r="R68" s="14"/>
      <c r="S68" s="14"/>
      <c r="T68" s="14"/>
      <c r="U68" s="14"/>
    </row>
    <row r="69" spans="2:23" ht="17.45" customHeight="1">
      <c r="B69" s="35" t="s">
        <v>152</v>
      </c>
      <c r="C69" s="35"/>
      <c r="D69" s="35"/>
      <c r="E69" s="35"/>
      <c r="H69" s="36">
        <v>585285.59733655583</v>
      </c>
      <c r="I69" s="36">
        <v>622601.06000000006</v>
      </c>
      <c r="J69" s="36">
        <v>548836.21198502078</v>
      </c>
      <c r="K69" s="36">
        <v>625082.794352383</v>
      </c>
      <c r="L69" s="36">
        <v>604207.40308225597</v>
      </c>
      <c r="M69" s="36">
        <v>672980.31881585601</v>
      </c>
      <c r="N69" s="36">
        <v>1145857.5130537702</v>
      </c>
      <c r="O69" s="36">
        <v>587545.17067690846</v>
      </c>
      <c r="P69" s="36">
        <v>398399.16036225663</v>
      </c>
      <c r="Q69" s="36">
        <v>438521.99026460596</v>
      </c>
      <c r="R69" s="36">
        <v>435851.57823125378</v>
      </c>
      <c r="S69" s="36">
        <v>456787.33698755637</v>
      </c>
      <c r="U69" s="36">
        <v>7121956.1351484228</v>
      </c>
      <c r="W69" s="45">
        <f>SUM(H69:U69)-SUM(H70:U72)</f>
        <v>0</v>
      </c>
    </row>
    <row r="70" spans="2:23" ht="17.45" customHeight="1">
      <c r="B70" s="37" t="s">
        <v>151</v>
      </c>
      <c r="C70" s="37"/>
      <c r="D70" s="37"/>
      <c r="E70" s="37"/>
      <c r="H70" s="38">
        <v>288804.54733655578</v>
      </c>
      <c r="I70" s="38">
        <v>293355.7</v>
      </c>
      <c r="J70" s="38">
        <v>325164.17146581801</v>
      </c>
      <c r="K70" s="38">
        <v>353008.11357949302</v>
      </c>
      <c r="L70" s="38">
        <v>332585.39854404837</v>
      </c>
      <c r="M70" s="38">
        <v>346080.30814515793</v>
      </c>
      <c r="N70" s="38">
        <v>345740.44721600157</v>
      </c>
      <c r="O70" s="38">
        <v>291111.02285901498</v>
      </c>
      <c r="P70" s="38">
        <v>343622.47974047012</v>
      </c>
      <c r="Q70" s="38">
        <v>333109.70123362698</v>
      </c>
      <c r="R70" s="38">
        <v>326831.32991407375</v>
      </c>
      <c r="S70" s="38">
        <v>342720.44965815952</v>
      </c>
      <c r="U70" s="38">
        <v>3922133.6696924204</v>
      </c>
      <c r="W70" s="45"/>
    </row>
    <row r="71" spans="2:23" ht="17.45" customHeight="1">
      <c r="B71" s="37" t="s">
        <v>150</v>
      </c>
      <c r="C71" s="37"/>
      <c r="D71" s="37"/>
      <c r="E71" s="37"/>
      <c r="H71" s="38">
        <v>296481.05</v>
      </c>
      <c r="I71" s="38">
        <v>329245.36000000004</v>
      </c>
      <c r="J71" s="38">
        <v>223672.04051920274</v>
      </c>
      <c r="K71" s="38">
        <v>272074.68077288999</v>
      </c>
      <c r="L71" s="38">
        <v>271622.00453820755</v>
      </c>
      <c r="M71" s="38">
        <v>326900.01067069813</v>
      </c>
      <c r="N71" s="38">
        <v>800117.0658377686</v>
      </c>
      <c r="O71" s="38">
        <v>296434.14781789348</v>
      </c>
      <c r="P71" s="38">
        <v>54776.680621786487</v>
      </c>
      <c r="Q71" s="38">
        <v>105412.28903097899</v>
      </c>
      <c r="R71" s="38">
        <v>109020.24831718</v>
      </c>
      <c r="S71" s="38">
        <v>114066.88732939684</v>
      </c>
      <c r="U71" s="38">
        <v>3199822.4654560029</v>
      </c>
      <c r="W71" s="45"/>
    </row>
    <row r="72" spans="2:23" ht="17.45" customHeight="1">
      <c r="B72" s="37" t="s">
        <v>149</v>
      </c>
      <c r="C72" s="37"/>
      <c r="D72" s="37"/>
      <c r="E72" s="37"/>
      <c r="H72" s="38"/>
      <c r="I72" s="38"/>
      <c r="J72" s="38"/>
      <c r="K72" s="38"/>
      <c r="L72" s="38"/>
      <c r="M72" s="38"/>
      <c r="N72" s="38"/>
      <c r="O72" s="38"/>
      <c r="P72" s="38"/>
      <c r="Q72" s="38"/>
      <c r="R72" s="38"/>
      <c r="S72" s="38"/>
      <c r="U72" s="38"/>
      <c r="W72" s="45"/>
    </row>
    <row r="73" spans="2:23" ht="17.45" customHeight="1">
      <c r="B73" s="35" t="s">
        <v>148</v>
      </c>
      <c r="C73" s="35"/>
      <c r="D73" s="35"/>
      <c r="E73" s="35"/>
      <c r="H73" s="36">
        <v>18057</v>
      </c>
      <c r="I73" s="36">
        <v>21206.069999999996</v>
      </c>
      <c r="J73" s="36">
        <v>14301.04</v>
      </c>
      <c r="K73" s="36">
        <v>18242.960000000006</v>
      </c>
      <c r="L73" s="36">
        <v>25045.509999999987</v>
      </c>
      <c r="M73" s="36">
        <v>30426.140000000014</v>
      </c>
      <c r="N73" s="36">
        <v>35002.080000000002</v>
      </c>
      <c r="O73" s="36">
        <v>39383.72</v>
      </c>
      <c r="P73" s="36">
        <v>38390.100000000006</v>
      </c>
      <c r="Q73" s="36">
        <v>38478.14</v>
      </c>
      <c r="R73" s="36">
        <v>15866.599999999995</v>
      </c>
      <c r="S73" s="36">
        <v>23135.33</v>
      </c>
      <c r="U73" s="36">
        <v>296926.7</v>
      </c>
      <c r="W73" s="45">
        <f>SUM(H73:U73)-SUM(H74:U75)</f>
        <v>0</v>
      </c>
    </row>
    <row r="74" spans="2:23" ht="17.45" customHeight="1">
      <c r="B74" s="37" t="s">
        <v>147</v>
      </c>
      <c r="C74" s="37"/>
      <c r="D74" s="37"/>
      <c r="E74" s="37"/>
      <c r="H74" s="38"/>
      <c r="I74" s="38"/>
      <c r="J74" s="38"/>
      <c r="K74" s="38">
        <v>4793.58</v>
      </c>
      <c r="L74" s="38">
        <v>6162</v>
      </c>
      <c r="M74" s="38">
        <v>6418.7500000000018</v>
      </c>
      <c r="N74" s="38">
        <v>6213.35</v>
      </c>
      <c r="O74" s="38">
        <v>5648.5</v>
      </c>
      <c r="P74" s="38">
        <v>5648.5</v>
      </c>
      <c r="Q74" s="38">
        <v>5135</v>
      </c>
      <c r="R74" s="38">
        <v>-19411.689999999999</v>
      </c>
      <c r="S74" s="38"/>
      <c r="U74" s="38"/>
      <c r="W74" s="45"/>
    </row>
    <row r="75" spans="2:23" ht="17.45" customHeight="1">
      <c r="B75" s="37" t="s">
        <v>146</v>
      </c>
      <c r="C75" s="37"/>
      <c r="D75" s="37"/>
      <c r="E75" s="37"/>
      <c r="H75" s="38">
        <v>18057</v>
      </c>
      <c r="I75" s="38">
        <v>21206.069999999996</v>
      </c>
      <c r="J75" s="38">
        <v>14301.04</v>
      </c>
      <c r="K75" s="38">
        <v>13449.380000000005</v>
      </c>
      <c r="L75" s="38">
        <v>18883.509999999987</v>
      </c>
      <c r="M75" s="38">
        <v>24007.390000000014</v>
      </c>
      <c r="N75" s="38">
        <v>28788.730000000003</v>
      </c>
      <c r="O75" s="38">
        <v>33735.22</v>
      </c>
      <c r="P75" s="38">
        <v>32741.600000000006</v>
      </c>
      <c r="Q75" s="38">
        <v>33343.14</v>
      </c>
      <c r="R75" s="38">
        <v>35278.289999999994</v>
      </c>
      <c r="S75" s="38">
        <v>23135.33</v>
      </c>
      <c r="U75" s="38">
        <v>296926.7</v>
      </c>
      <c r="W75" s="45"/>
    </row>
    <row r="76" spans="2:23" ht="17.45" customHeight="1">
      <c r="B76" s="35" t="s">
        <v>145</v>
      </c>
      <c r="C76" s="35"/>
      <c r="D76" s="35"/>
      <c r="E76" s="35"/>
      <c r="H76" s="36">
        <v>-49807</v>
      </c>
      <c r="I76" s="36">
        <v>-49646.03</v>
      </c>
      <c r="J76" s="36">
        <v>-51816.32</v>
      </c>
      <c r="K76" s="36">
        <v>-50651.39</v>
      </c>
      <c r="L76" s="36">
        <v>-55633.04</v>
      </c>
      <c r="M76" s="36">
        <v>-51410.63</v>
      </c>
      <c r="N76" s="36">
        <v>-51486.38</v>
      </c>
      <c r="O76" s="36">
        <v>-50949.38</v>
      </c>
      <c r="P76" s="36">
        <v>-50450.800000000017</v>
      </c>
      <c r="Q76" s="36">
        <v>-63718.630000000005</v>
      </c>
      <c r="R76" s="36">
        <v>-63951.199999999997</v>
      </c>
      <c r="S76" s="36">
        <v>-50347.459999999992</v>
      </c>
      <c r="U76" s="36">
        <v>-644129.21</v>
      </c>
      <c r="W76" s="45">
        <f>SUM(H76:U76)-SUM(H77:U77)</f>
        <v>0</v>
      </c>
    </row>
    <row r="77" spans="2:23" ht="17.45" customHeight="1">
      <c r="B77" s="37" t="s">
        <v>144</v>
      </c>
      <c r="C77" s="37"/>
      <c r="D77" s="37"/>
      <c r="E77" s="37"/>
      <c r="H77" s="38">
        <v>-49807</v>
      </c>
      <c r="I77" s="38">
        <v>-49646.03</v>
      </c>
      <c r="J77" s="38">
        <v>-51816.32</v>
      </c>
      <c r="K77" s="38">
        <v>-50651.389999999992</v>
      </c>
      <c r="L77" s="38">
        <v>-55633.04</v>
      </c>
      <c r="M77" s="38">
        <v>-51410.63</v>
      </c>
      <c r="N77" s="38">
        <v>-51486.38</v>
      </c>
      <c r="O77" s="38">
        <v>-50949.38</v>
      </c>
      <c r="P77" s="38">
        <v>-50450.800000000017</v>
      </c>
      <c r="Q77" s="38">
        <v>-63718.630000000005</v>
      </c>
      <c r="R77" s="38">
        <v>-63951.199999999997</v>
      </c>
      <c r="S77" s="38">
        <v>-50347.459999999992</v>
      </c>
      <c r="U77" s="38">
        <v>-644129.21</v>
      </c>
      <c r="W77" s="45"/>
    </row>
    <row r="78" spans="2:23" ht="17.45" customHeight="1">
      <c r="B78" s="35" t="s">
        <v>143</v>
      </c>
      <c r="C78" s="35"/>
      <c r="D78" s="35"/>
      <c r="E78" s="35"/>
      <c r="H78" s="36">
        <v>553535.59733655583</v>
      </c>
      <c r="I78" s="36">
        <v>594161.1</v>
      </c>
      <c r="J78" s="36">
        <v>511320.93198502081</v>
      </c>
      <c r="K78" s="36">
        <v>592674.36435238295</v>
      </c>
      <c r="L78" s="36">
        <v>573619.87308225594</v>
      </c>
      <c r="M78" s="36">
        <v>651995.82881585602</v>
      </c>
      <c r="N78" s="36">
        <v>1129373.2130537704</v>
      </c>
      <c r="O78" s="36">
        <v>575979.51067690842</v>
      </c>
      <c r="P78" s="36">
        <v>386338.46036225662</v>
      </c>
      <c r="Q78" s="36">
        <v>413281.50026460597</v>
      </c>
      <c r="R78" s="36">
        <v>387766.97823125374</v>
      </c>
      <c r="S78" s="36">
        <v>429575.20698755642</v>
      </c>
      <c r="U78" s="36">
        <v>6774753.625148423</v>
      </c>
      <c r="W78" s="45">
        <f>SUM(H69:U69,H73:U73,H76:U76)-SUM(H78:U78)</f>
        <v>0</v>
      </c>
    </row>
    <row r="79" spans="2:23" ht="17.45" customHeight="1">
      <c r="B79" s="39" t="s">
        <v>142</v>
      </c>
      <c r="C79" s="39"/>
      <c r="D79" s="39"/>
      <c r="E79" s="39"/>
      <c r="H79" s="40">
        <v>527625.22000000032</v>
      </c>
      <c r="I79" s="40">
        <v>529161.10000000009</v>
      </c>
      <c r="J79" s="40">
        <v>552749.99999999965</v>
      </c>
      <c r="K79" s="40">
        <v>552750</v>
      </c>
      <c r="L79" s="40">
        <v>552750</v>
      </c>
      <c r="M79" s="40">
        <v>603000.00000000012</v>
      </c>
      <c r="N79" s="40">
        <v>552750</v>
      </c>
      <c r="O79" s="40">
        <v>552749.99999999988</v>
      </c>
      <c r="P79" s="40">
        <v>552749.99999999988</v>
      </c>
      <c r="Q79" s="40">
        <v>552750</v>
      </c>
      <c r="R79" s="40">
        <v>552750</v>
      </c>
      <c r="S79" s="40">
        <v>552750</v>
      </c>
      <c r="U79" s="40">
        <v>6634536.3199999994</v>
      </c>
    </row>
    <row r="80" spans="2:23" ht="17.45" customHeight="1">
      <c r="B80" s="41" t="s">
        <v>141</v>
      </c>
      <c r="C80" s="41"/>
      <c r="D80" s="41"/>
      <c r="E80" s="41"/>
      <c r="H80" s="42">
        <v>0.11015633777841907</v>
      </c>
      <c r="I80" s="42">
        <v>0.11824101492537313</v>
      </c>
      <c r="J80" s="42">
        <v>0.1017554093502529</v>
      </c>
      <c r="K80" s="49">
        <v>1.1794514713480257</v>
      </c>
      <c r="L80" s="49">
        <v>1.1415320857358326</v>
      </c>
      <c r="M80" s="49">
        <v>1.2975041369469771</v>
      </c>
      <c r="N80" s="42">
        <v>0.22475088816990454</v>
      </c>
      <c r="O80" s="42">
        <v>0.11462278819440963</v>
      </c>
      <c r="P80" s="42">
        <v>7.6883275693981415E-2</v>
      </c>
      <c r="Q80" s="42">
        <v>8.2245074679523578E-2</v>
      </c>
      <c r="R80" s="42">
        <v>7.7167557856965913E-2</v>
      </c>
      <c r="S80" s="42">
        <v>8.5487603380608249E-2</v>
      </c>
      <c r="U80" s="42">
        <v>0.11235080638720436</v>
      </c>
    </row>
    <row r="81" spans="2:23" ht="17.45" customHeight="1">
      <c r="B81" s="41" t="s">
        <v>140</v>
      </c>
      <c r="C81" s="41"/>
      <c r="D81" s="41"/>
      <c r="E81" s="41"/>
      <c r="H81" s="42">
        <v>0.10500004378109459</v>
      </c>
      <c r="I81" s="42">
        <v>0.10530569154228858</v>
      </c>
      <c r="J81" s="42">
        <v>0.10999999999999993</v>
      </c>
      <c r="K81" s="42">
        <v>0.11</v>
      </c>
      <c r="L81" s="42">
        <v>0.11</v>
      </c>
      <c r="M81" s="42">
        <v>0.12000000000000002</v>
      </c>
      <c r="N81" s="42">
        <v>0.11</v>
      </c>
      <c r="O81" s="42">
        <v>0.10999999999999997</v>
      </c>
      <c r="P81" s="42">
        <v>0.10999999999999997</v>
      </c>
      <c r="Q81" s="42">
        <v>0.11</v>
      </c>
      <c r="R81" s="42">
        <v>0.11</v>
      </c>
      <c r="S81" s="42">
        <v>0.11</v>
      </c>
      <c r="U81" s="42">
        <v>0.11002547794361528</v>
      </c>
    </row>
    <row r="82" spans="2:23" ht="17.45" customHeight="1">
      <c r="B82" s="41" t="s">
        <v>139</v>
      </c>
      <c r="C82" s="41"/>
      <c r="D82" s="41"/>
      <c r="E82" s="41"/>
      <c r="H82" s="44">
        <v>10.16</v>
      </c>
      <c r="I82" s="43">
        <v>10.029999999999999</v>
      </c>
      <c r="J82" s="43">
        <v>10.199999999999999</v>
      </c>
      <c r="K82" s="43">
        <v>10.14</v>
      </c>
      <c r="L82" s="43">
        <v>10.19</v>
      </c>
      <c r="M82" s="43">
        <v>10.119999999999999</v>
      </c>
      <c r="N82" s="43">
        <v>9.9</v>
      </c>
      <c r="O82" s="43">
        <v>9.92</v>
      </c>
      <c r="P82" s="43">
        <v>9.92</v>
      </c>
      <c r="Q82" s="43">
        <v>9.9499999999999993</v>
      </c>
      <c r="R82" s="43">
        <v>9.8000000000000007</v>
      </c>
      <c r="S82" s="43">
        <v>9.76</v>
      </c>
      <c r="U82" s="43" t="s">
        <v>137</v>
      </c>
    </row>
    <row r="83" spans="2:23" ht="17.45" customHeight="1">
      <c r="B83" s="41" t="s">
        <v>138</v>
      </c>
      <c r="C83" s="41"/>
      <c r="D83" s="41"/>
      <c r="E83" s="41"/>
      <c r="H83" s="43">
        <v>9.98</v>
      </c>
      <c r="I83" s="43">
        <v>9.98</v>
      </c>
      <c r="J83" s="43">
        <v>9.9584299999999999</v>
      </c>
      <c r="K83" s="43">
        <v>9.8979999999999997</v>
      </c>
      <c r="L83" s="43">
        <v>9.9480000000000004</v>
      </c>
      <c r="M83" s="43">
        <v>9.4499999999999993</v>
      </c>
      <c r="N83" s="43">
        <v>9.4</v>
      </c>
      <c r="O83" s="43">
        <v>9.854000000000001</v>
      </c>
      <c r="P83" s="43">
        <v>9.8000000000000007</v>
      </c>
      <c r="Q83" s="43">
        <v>9.67</v>
      </c>
      <c r="R83" s="43">
        <v>9.1</v>
      </c>
      <c r="S83" s="43">
        <v>9.5500000000000007</v>
      </c>
      <c r="U83" s="43" t="s">
        <v>137</v>
      </c>
    </row>
    <row r="84" spans="2:23" ht="24" customHeight="1">
      <c r="I84" s="13"/>
      <c r="J84" s="13"/>
      <c r="K84" s="13"/>
      <c r="L84" s="13"/>
      <c r="M84" s="13"/>
      <c r="N84" s="13"/>
    </row>
    <row r="85" spans="2:23" ht="24.95" customHeight="1">
      <c r="B85" s="21" t="s">
        <v>153</v>
      </c>
      <c r="C85" s="20"/>
      <c r="D85" s="20"/>
      <c r="E85" s="20"/>
      <c r="F85" s="18"/>
      <c r="G85" s="18"/>
      <c r="H85" s="19">
        <v>44197</v>
      </c>
      <c r="I85" s="19">
        <v>44228</v>
      </c>
      <c r="J85" s="19">
        <v>44256</v>
      </c>
      <c r="K85" s="19">
        <v>44287</v>
      </c>
      <c r="L85" s="19">
        <v>44317</v>
      </c>
      <c r="M85" s="19">
        <v>44348</v>
      </c>
      <c r="N85" s="19">
        <v>44378</v>
      </c>
      <c r="O85" s="19">
        <v>44409</v>
      </c>
      <c r="P85" s="19">
        <v>44440</v>
      </c>
      <c r="Q85" s="19">
        <v>44470</v>
      </c>
      <c r="R85" s="19">
        <v>44501</v>
      </c>
      <c r="S85" s="19">
        <v>44531</v>
      </c>
      <c r="T85" s="18"/>
      <c r="U85" s="17">
        <v>2021</v>
      </c>
    </row>
    <row r="86" spans="2:23" ht="5.0999999999999996" customHeight="1">
      <c r="B86" s="16"/>
      <c r="C86" s="15"/>
      <c r="D86" s="15"/>
      <c r="E86" s="15"/>
      <c r="H86" s="14"/>
      <c r="I86" s="14"/>
      <c r="J86" s="14"/>
      <c r="K86" s="14"/>
      <c r="L86" s="14"/>
      <c r="M86" s="14"/>
      <c r="N86" s="14"/>
      <c r="O86" s="14"/>
      <c r="P86" s="14"/>
      <c r="Q86" s="14"/>
      <c r="R86" s="14"/>
      <c r="S86" s="14"/>
      <c r="U86" s="14"/>
    </row>
    <row r="87" spans="2:23" ht="5.0999999999999996" customHeight="1">
      <c r="B87" s="16"/>
      <c r="C87" s="15"/>
      <c r="D87" s="15"/>
      <c r="E87" s="15"/>
      <c r="H87" s="14"/>
      <c r="I87" s="14"/>
      <c r="J87" s="14"/>
      <c r="K87" s="14"/>
      <c r="L87" s="14"/>
      <c r="M87" s="14"/>
      <c r="N87" s="14"/>
      <c r="O87" s="14"/>
      <c r="P87" s="14"/>
      <c r="Q87" s="14"/>
      <c r="R87" s="14"/>
      <c r="S87" s="14"/>
      <c r="U87" s="14"/>
    </row>
    <row r="88" spans="2:23" ht="17.45" customHeight="1">
      <c r="B88" s="35" t="s">
        <v>152</v>
      </c>
      <c r="C88" s="35"/>
      <c r="D88" s="35"/>
      <c r="E88" s="35"/>
      <c r="H88" s="36"/>
      <c r="I88" s="36"/>
      <c r="J88" s="36"/>
      <c r="K88" s="36"/>
      <c r="L88" s="36"/>
      <c r="M88" s="36"/>
      <c r="N88" s="36"/>
      <c r="O88" s="36"/>
      <c r="P88" s="36">
        <v>274481</v>
      </c>
      <c r="Q88" s="36">
        <v>539588.08453587198</v>
      </c>
      <c r="R88" s="36">
        <v>563607.94999999995</v>
      </c>
      <c r="S88" s="36">
        <v>578980</v>
      </c>
      <c r="U88" s="36">
        <v>1956657.0345358718</v>
      </c>
      <c r="W88" s="45">
        <f>SUM(H88:U88)-SUM(H89:U91)</f>
        <v>0</v>
      </c>
    </row>
    <row r="89" spans="2:23" ht="17.45" customHeight="1">
      <c r="B89" s="37" t="s">
        <v>151</v>
      </c>
      <c r="C89" s="37"/>
      <c r="D89" s="37"/>
      <c r="E89" s="37"/>
      <c r="H89" s="38"/>
      <c r="I89" s="38"/>
      <c r="J89" s="38"/>
      <c r="K89" s="38"/>
      <c r="L89" s="38"/>
      <c r="M89" s="38"/>
      <c r="N89" s="38"/>
      <c r="O89" s="38"/>
      <c r="P89" s="38">
        <v>182770</v>
      </c>
      <c r="Q89" s="38">
        <v>314980.83950024098</v>
      </c>
      <c r="R89" s="38">
        <v>328961</v>
      </c>
      <c r="S89" s="38">
        <v>320558</v>
      </c>
      <c r="U89" s="38">
        <v>1147269.839500241</v>
      </c>
      <c r="W89" s="45"/>
    </row>
    <row r="90" spans="2:23" ht="17.45" customHeight="1">
      <c r="B90" s="37" t="s">
        <v>150</v>
      </c>
      <c r="C90" s="37"/>
      <c r="D90" s="37"/>
      <c r="E90" s="37"/>
      <c r="H90" s="38"/>
      <c r="I90" s="38"/>
      <c r="J90" s="38"/>
      <c r="K90" s="38"/>
      <c r="L90" s="38"/>
      <c r="M90" s="38"/>
      <c r="N90" s="38"/>
      <c r="O90" s="38"/>
      <c r="P90" s="38">
        <v>91711</v>
      </c>
      <c r="Q90" s="38">
        <v>224607.245035631</v>
      </c>
      <c r="R90" s="38">
        <v>234646.94999999998</v>
      </c>
      <c r="S90" s="38">
        <v>258422</v>
      </c>
      <c r="U90" s="38">
        <v>809387.19503563095</v>
      </c>
      <c r="W90" s="45"/>
    </row>
    <row r="91" spans="2:23" ht="17.45" customHeight="1">
      <c r="B91" s="37" t="s">
        <v>149</v>
      </c>
      <c r="C91" s="37"/>
      <c r="D91" s="37"/>
      <c r="E91" s="37"/>
      <c r="H91" s="38"/>
      <c r="I91" s="38"/>
      <c r="J91" s="38"/>
      <c r="K91" s="38"/>
      <c r="L91" s="38"/>
      <c r="M91" s="38"/>
      <c r="N91" s="38"/>
      <c r="O91" s="38"/>
      <c r="P91" s="38"/>
      <c r="Q91" s="38"/>
      <c r="R91" s="38"/>
      <c r="S91" s="38"/>
      <c r="U91" s="38"/>
      <c r="W91" s="45"/>
    </row>
    <row r="92" spans="2:23" ht="17.45" customHeight="1">
      <c r="B92" s="35" t="s">
        <v>148</v>
      </c>
      <c r="C92" s="35"/>
      <c r="D92" s="35"/>
      <c r="E92" s="35"/>
      <c r="H92" s="36"/>
      <c r="I92" s="36"/>
      <c r="J92" s="36"/>
      <c r="K92" s="36"/>
      <c r="L92" s="36"/>
      <c r="M92" s="36"/>
      <c r="N92" s="36"/>
      <c r="O92" s="36">
        <v>22387.230000000003</v>
      </c>
      <c r="P92" s="36">
        <v>12682.730000000007</v>
      </c>
      <c r="Q92" s="36">
        <v>7543.9999999999982</v>
      </c>
      <c r="R92" s="36">
        <v>7835.3699999999953</v>
      </c>
      <c r="S92" s="36">
        <v>9646</v>
      </c>
      <c r="U92" s="36">
        <v>60095.33</v>
      </c>
      <c r="W92" s="45">
        <f>SUM(H92:U92)-SUM(H93:U94)</f>
        <v>0</v>
      </c>
    </row>
    <row r="93" spans="2:23" ht="17.45" customHeight="1">
      <c r="B93" s="37" t="s">
        <v>147</v>
      </c>
      <c r="C93" s="37"/>
      <c r="D93" s="37"/>
      <c r="E93" s="37"/>
      <c r="H93" s="38"/>
      <c r="I93" s="38"/>
      <c r="J93" s="38"/>
      <c r="K93" s="38"/>
      <c r="L93" s="38"/>
      <c r="M93" s="38"/>
      <c r="N93" s="38"/>
      <c r="O93" s="38"/>
      <c r="P93" s="38"/>
      <c r="Q93" s="38"/>
      <c r="R93" s="38"/>
      <c r="S93" s="38"/>
      <c r="U93" s="38"/>
      <c r="W93" s="45"/>
    </row>
    <row r="94" spans="2:23" ht="17.45" customHeight="1">
      <c r="B94" s="37" t="s">
        <v>146</v>
      </c>
      <c r="C94" s="37"/>
      <c r="D94" s="37"/>
      <c r="E94" s="37"/>
      <c r="H94" s="38"/>
      <c r="I94" s="38"/>
      <c r="J94" s="38"/>
      <c r="K94" s="38"/>
      <c r="L94" s="38"/>
      <c r="M94" s="38"/>
      <c r="N94" s="38"/>
      <c r="O94" s="38">
        <v>22387.230000000003</v>
      </c>
      <c r="P94" s="38">
        <v>12682.730000000007</v>
      </c>
      <c r="Q94" s="38">
        <v>7543.9999999999982</v>
      </c>
      <c r="R94" s="38">
        <v>7835.3699999999953</v>
      </c>
      <c r="S94" s="38">
        <v>9646</v>
      </c>
      <c r="U94" s="38">
        <v>60095.33</v>
      </c>
      <c r="W94" s="45"/>
    </row>
    <row r="95" spans="2:23" ht="17.45" customHeight="1">
      <c r="B95" s="35" t="s">
        <v>145</v>
      </c>
      <c r="C95" s="35"/>
      <c r="D95" s="35"/>
      <c r="E95" s="35"/>
      <c r="H95" s="36"/>
      <c r="I95" s="36"/>
      <c r="J95" s="36"/>
      <c r="K95" s="36"/>
      <c r="L95" s="36"/>
      <c r="M95" s="36"/>
      <c r="N95" s="36"/>
      <c r="O95" s="36">
        <v>-8682.19</v>
      </c>
      <c r="P95" s="36">
        <v>-32747.279999999995</v>
      </c>
      <c r="Q95" s="36">
        <v>-51095.340000000004</v>
      </c>
      <c r="R95" s="36">
        <v>-50288.319999999992</v>
      </c>
      <c r="S95" s="36">
        <v>-50341</v>
      </c>
      <c r="U95" s="36">
        <v>-188530.02000000002</v>
      </c>
      <c r="W95" s="45">
        <f>SUM(H95:U95)-SUM(H96:U96)</f>
        <v>0</v>
      </c>
    </row>
    <row r="96" spans="2:23" ht="17.45" customHeight="1">
      <c r="B96" s="37" t="s">
        <v>144</v>
      </c>
      <c r="C96" s="37"/>
      <c r="D96" s="37"/>
      <c r="E96" s="37"/>
      <c r="H96" s="38"/>
      <c r="I96" s="38"/>
      <c r="J96" s="38"/>
      <c r="K96" s="38"/>
      <c r="L96" s="38"/>
      <c r="M96" s="38"/>
      <c r="N96" s="38"/>
      <c r="O96" s="38">
        <v>-8682.19</v>
      </c>
      <c r="P96" s="38">
        <v>-32747.279999999995</v>
      </c>
      <c r="Q96" s="38">
        <v>-51095.340000000004</v>
      </c>
      <c r="R96" s="38">
        <v>-50288.319999999992</v>
      </c>
      <c r="S96" s="38">
        <v>-50341</v>
      </c>
      <c r="U96" s="38">
        <v>-188530.02000000002</v>
      </c>
      <c r="W96" s="45"/>
    </row>
    <row r="97" spans="2:23" ht="17.45" customHeight="1">
      <c r="B97" s="35" t="s">
        <v>143</v>
      </c>
      <c r="C97" s="35"/>
      <c r="D97" s="35"/>
      <c r="E97" s="35"/>
      <c r="H97" s="36"/>
      <c r="I97" s="36"/>
      <c r="J97" s="36"/>
      <c r="K97" s="36"/>
      <c r="L97" s="36"/>
      <c r="M97" s="36"/>
      <c r="N97" s="36"/>
      <c r="O97" s="36">
        <v>13705.040000000003</v>
      </c>
      <c r="P97" s="36">
        <v>254416.44999999998</v>
      </c>
      <c r="Q97" s="36">
        <v>496036.74453587196</v>
      </c>
      <c r="R97" s="36">
        <v>521154.99999999994</v>
      </c>
      <c r="S97" s="36">
        <v>538285</v>
      </c>
      <c r="U97" s="36">
        <v>1828222.3445358719</v>
      </c>
      <c r="W97" s="45">
        <f>SUM(H88:U88,H92:U92,H95:U95)-SUM(H97:U97)</f>
        <v>0</v>
      </c>
    </row>
    <row r="98" spans="2:23" ht="17.45" customHeight="1">
      <c r="B98" s="39" t="s">
        <v>142</v>
      </c>
      <c r="C98" s="39"/>
      <c r="D98" s="39"/>
      <c r="E98" s="39"/>
      <c r="H98" s="40"/>
      <c r="I98" s="40"/>
      <c r="J98" s="40"/>
      <c r="K98" s="40"/>
      <c r="L98" s="40"/>
      <c r="M98" s="40"/>
      <c r="N98" s="40"/>
      <c r="O98" s="40">
        <v>13705.040000000003</v>
      </c>
      <c r="P98" s="40">
        <v>254417.11</v>
      </c>
      <c r="Q98" s="40">
        <v>486968.71240928298</v>
      </c>
      <c r="R98" s="40">
        <v>521155.38</v>
      </c>
      <c r="S98" s="40">
        <v>538285</v>
      </c>
      <c r="U98" s="40">
        <v>1814531.2424092828</v>
      </c>
    </row>
    <row r="99" spans="2:23" ht="17.45" customHeight="1">
      <c r="B99" s="41" t="s">
        <v>141</v>
      </c>
      <c r="C99" s="41"/>
      <c r="D99" s="41"/>
      <c r="E99" s="41"/>
      <c r="H99" s="42"/>
      <c r="I99" s="42"/>
      <c r="J99" s="42"/>
      <c r="K99" s="42"/>
      <c r="L99" s="42"/>
      <c r="M99" s="42"/>
      <c r="N99" s="42"/>
      <c r="O99" s="42">
        <v>4.2496248062015513E-3</v>
      </c>
      <c r="P99" s="42">
        <v>7.8888821705426354E-2</v>
      </c>
      <c r="Q99" s="42">
        <v>9.8713780007138693E-2</v>
      </c>
      <c r="R99" s="42">
        <v>0.10371243781094526</v>
      </c>
      <c r="S99" s="42">
        <v>0.10712139303482587</v>
      </c>
      <c r="U99" s="42">
        <v>7.9986449314268043E-2</v>
      </c>
    </row>
    <row r="100" spans="2:23" ht="17.45" customHeight="1">
      <c r="B100" s="41" t="s">
        <v>140</v>
      </c>
      <c r="C100" s="41"/>
      <c r="D100" s="41"/>
      <c r="E100" s="41"/>
      <c r="H100" s="42"/>
      <c r="I100" s="42"/>
      <c r="J100" s="42"/>
      <c r="K100" s="42"/>
      <c r="L100" s="42"/>
      <c r="M100" s="42"/>
      <c r="N100" s="42"/>
      <c r="O100" s="42">
        <v>4.2496248062015513E-3</v>
      </c>
      <c r="P100" s="42">
        <v>7.8889026356589148E-2</v>
      </c>
      <c r="Q100" s="42">
        <v>0.10306216135646201</v>
      </c>
      <c r="R100" s="42">
        <v>0.10371251343283582</v>
      </c>
      <c r="S100" s="42">
        <v>0.10712139303482587</v>
      </c>
      <c r="U100" s="42">
        <v>7.9406943797382876E-2</v>
      </c>
    </row>
    <row r="101" spans="2:23" ht="17.45" customHeight="1">
      <c r="B101" s="41" t="s">
        <v>139</v>
      </c>
      <c r="C101" s="41"/>
      <c r="D101" s="41"/>
      <c r="E101" s="41"/>
      <c r="H101" s="44"/>
      <c r="I101" s="43"/>
      <c r="J101" s="43"/>
      <c r="K101" s="43"/>
      <c r="L101" s="43"/>
      <c r="M101" s="43"/>
      <c r="N101" s="43"/>
      <c r="O101" s="43"/>
      <c r="P101" s="43"/>
      <c r="Q101" s="43"/>
      <c r="R101" s="43" t="s">
        <v>42</v>
      </c>
      <c r="S101" s="43">
        <v>10.23</v>
      </c>
      <c r="U101" s="43" t="s">
        <v>137</v>
      </c>
    </row>
    <row r="102" spans="2:23" ht="17.45" customHeight="1">
      <c r="B102" s="41" t="s">
        <v>138</v>
      </c>
      <c r="C102" s="41"/>
      <c r="D102" s="41"/>
      <c r="E102" s="41"/>
      <c r="H102" s="43"/>
      <c r="I102" s="43"/>
      <c r="J102" s="43"/>
      <c r="K102" s="43"/>
      <c r="L102" s="43"/>
      <c r="M102" s="43"/>
      <c r="N102" s="43"/>
      <c r="O102" s="43"/>
      <c r="P102" s="43"/>
      <c r="Q102" s="43"/>
      <c r="R102" s="43">
        <v>10</v>
      </c>
      <c r="S102" s="43">
        <v>10</v>
      </c>
      <c r="U102" s="43" t="s">
        <v>137</v>
      </c>
    </row>
    <row r="103" spans="2:23" ht="24" customHeight="1">
      <c r="H103" s="13"/>
      <c r="I103" s="13"/>
      <c r="J103" s="13"/>
      <c r="K103" s="13"/>
      <c r="L103" s="13"/>
      <c r="M103" s="13"/>
    </row>
  </sheetData>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Capa</vt:lpstr>
      <vt:lpstr>Portfólio</vt:lpstr>
      <vt:lpstr>Resultado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Fábio Garbossa</dc:creator>
  <cp:lastModifiedBy>Rafael Sinetti</cp:lastModifiedBy>
  <dcterms:created xsi:type="dcterms:W3CDTF">2024-07-11T19:55:40Z</dcterms:created>
  <dcterms:modified xsi:type="dcterms:W3CDTF">2025-05-30T19:29:22Z</dcterms:modified>
</cp:coreProperties>
</file>